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5260" windowHeight="6345"/>
  </bookViews>
  <sheets>
    <sheet name="CSV_2023-10-03-112017" sheetId="1" r:id="rId1"/>
  </sheets>
  <definedNames>
    <definedName name="_xlnm._FilterDatabase" localSheetId="0" hidden="1">'CSV_2023-10-03-112017'!$A$1:$P$329</definedName>
  </definedNames>
  <calcPr calcId="0"/>
</workbook>
</file>

<file path=xl/calcChain.xml><?xml version="1.0" encoding="utf-8"?>
<calcChain xmlns="http://schemas.openxmlformats.org/spreadsheetml/2006/main">
  <c r="B289" i="1"/>
  <c r="N289"/>
  <c r="O289"/>
  <c r="B287"/>
  <c r="N287"/>
  <c r="O287"/>
  <c r="B300"/>
  <c r="N300"/>
  <c r="O300"/>
  <c r="B137"/>
  <c r="B119"/>
  <c r="N119"/>
  <c r="O119"/>
  <c r="B36"/>
  <c r="N36"/>
  <c r="O36"/>
  <c r="B124"/>
  <c r="N124"/>
  <c r="O124"/>
  <c r="B66"/>
  <c r="N66"/>
  <c r="O66"/>
  <c r="B86"/>
  <c r="N86"/>
  <c r="O86"/>
  <c r="B209"/>
  <c r="N209"/>
  <c r="O209"/>
  <c r="B148"/>
  <c r="N148"/>
  <c r="O148"/>
  <c r="B210"/>
  <c r="N210"/>
  <c r="O210"/>
  <c r="B27"/>
  <c r="N27"/>
  <c r="O27"/>
  <c r="B227"/>
  <c r="N227"/>
  <c r="O227"/>
  <c r="B140"/>
  <c r="N140"/>
  <c r="O140"/>
  <c r="B211"/>
  <c r="N211"/>
  <c r="O211"/>
  <c r="B228"/>
  <c r="N228"/>
  <c r="O228"/>
  <c r="B29"/>
  <c r="N29"/>
  <c r="O29"/>
  <c r="B72"/>
  <c r="N72"/>
  <c r="O72"/>
  <c r="B110"/>
  <c r="N110"/>
  <c r="O110"/>
  <c r="B101"/>
  <c r="N101"/>
  <c r="O101"/>
  <c r="B126"/>
  <c r="N126"/>
  <c r="O126"/>
  <c r="B125"/>
  <c r="N125"/>
  <c r="O125"/>
  <c r="B58"/>
  <c r="N58"/>
  <c r="O58"/>
  <c r="B304"/>
  <c r="N304"/>
  <c r="O304"/>
  <c r="B290"/>
  <c r="N290"/>
  <c r="O290"/>
  <c r="B118"/>
  <c r="N118"/>
  <c r="O118"/>
  <c r="B87"/>
  <c r="N87"/>
  <c r="O87"/>
  <c r="B49"/>
  <c r="N49"/>
  <c r="O49"/>
  <c r="B104"/>
  <c r="N104"/>
  <c r="O104"/>
  <c r="B62"/>
  <c r="N62"/>
  <c r="O62"/>
  <c r="B120"/>
  <c r="N120"/>
  <c r="O120"/>
  <c r="B131"/>
  <c r="N131"/>
  <c r="O131"/>
  <c r="B123"/>
  <c r="N123"/>
  <c r="O123"/>
  <c r="B212"/>
  <c r="N212"/>
  <c r="O212"/>
  <c r="B121"/>
  <c r="N121"/>
  <c r="O121"/>
  <c r="B10"/>
  <c r="N10"/>
  <c r="O10"/>
  <c r="B54"/>
  <c r="N54"/>
  <c r="O54"/>
  <c r="B59"/>
  <c r="N59"/>
  <c r="O59"/>
  <c r="B291"/>
  <c r="N291"/>
  <c r="O291"/>
  <c r="B312"/>
  <c r="N312"/>
  <c r="O312"/>
  <c r="B221"/>
  <c r="N221"/>
  <c r="O221"/>
  <c r="B222"/>
  <c r="N222"/>
  <c r="O222"/>
  <c r="B132"/>
  <c r="N132"/>
  <c r="O132"/>
  <c r="B311"/>
  <c r="N311"/>
  <c r="O311"/>
  <c r="B61"/>
  <c r="N61"/>
  <c r="O61"/>
  <c r="B117"/>
  <c r="N117"/>
  <c r="O117"/>
  <c r="B197"/>
  <c r="N197"/>
  <c r="O197"/>
  <c r="B63"/>
  <c r="N63"/>
  <c r="O63"/>
  <c r="B223"/>
  <c r="N223"/>
  <c r="O223"/>
  <c r="B70"/>
  <c r="N70"/>
  <c r="O70"/>
  <c r="B224"/>
  <c r="N224"/>
  <c r="O224"/>
  <c r="B282"/>
  <c r="N282"/>
  <c r="O282"/>
  <c r="B213"/>
  <c r="N213"/>
  <c r="O213"/>
  <c r="B30"/>
  <c r="N30"/>
  <c r="O30"/>
  <c r="B214"/>
  <c r="N214"/>
  <c r="O214"/>
  <c r="B92"/>
  <c r="N92"/>
  <c r="O92"/>
  <c r="B112"/>
  <c r="N112"/>
  <c r="O112"/>
  <c r="B193"/>
  <c r="N193"/>
  <c r="O193"/>
  <c r="B99"/>
  <c r="N99"/>
  <c r="O99"/>
  <c r="B202"/>
  <c r="N202"/>
  <c r="O202"/>
  <c r="B215"/>
  <c r="N215"/>
  <c r="O215"/>
  <c r="B157"/>
  <c r="N157"/>
  <c r="O157"/>
  <c r="B44"/>
  <c r="N44"/>
  <c r="O44"/>
  <c r="B71"/>
  <c r="N71"/>
  <c r="O71"/>
  <c r="B190"/>
  <c r="N190"/>
  <c r="O190"/>
  <c r="B50"/>
  <c r="N50"/>
  <c r="O50"/>
  <c r="B57"/>
  <c r="N57"/>
  <c r="O57"/>
  <c r="B38"/>
  <c r="N38"/>
  <c r="O38"/>
  <c r="B94"/>
  <c r="N94"/>
  <c r="O94"/>
  <c r="B186"/>
  <c r="N186"/>
  <c r="O186"/>
  <c r="B128"/>
  <c r="N128"/>
  <c r="O128"/>
  <c r="B321"/>
  <c r="N321"/>
  <c r="O321"/>
  <c r="B185"/>
  <c r="N185"/>
  <c r="O185"/>
  <c r="B68"/>
  <c r="N68"/>
  <c r="O68"/>
  <c r="B85"/>
  <c r="N85"/>
  <c r="O85"/>
  <c r="B315"/>
  <c r="N315"/>
  <c r="O315"/>
  <c r="B188"/>
  <c r="N188"/>
  <c r="O188"/>
  <c r="B274"/>
  <c r="N274"/>
  <c r="O274"/>
  <c r="B234"/>
  <c r="N234"/>
  <c r="O234"/>
  <c r="B303"/>
  <c r="N303"/>
  <c r="O303"/>
  <c r="B235"/>
  <c r="N235"/>
  <c r="O235"/>
  <c r="B236"/>
  <c r="N236"/>
  <c r="O236"/>
  <c r="B237"/>
  <c r="N237"/>
  <c r="O237"/>
  <c r="B238"/>
  <c r="N238"/>
  <c r="O238"/>
  <c r="B240"/>
  <c r="N240"/>
  <c r="O240"/>
  <c r="B241"/>
  <c r="N241"/>
  <c r="O241"/>
  <c r="B127"/>
  <c r="N127"/>
  <c r="O127"/>
  <c r="B242"/>
  <c r="N242"/>
  <c r="O242"/>
  <c r="B243"/>
  <c r="N243"/>
  <c r="O243"/>
  <c r="B136"/>
  <c r="N136"/>
  <c r="O136"/>
  <c r="B244"/>
  <c r="N244"/>
  <c r="O244"/>
  <c r="B245"/>
  <c r="N245"/>
  <c r="O245"/>
  <c r="B130"/>
  <c r="N130"/>
  <c r="O130"/>
  <c r="B172"/>
  <c r="N172"/>
  <c r="O172"/>
  <c r="B107"/>
  <c r="N107"/>
  <c r="O107"/>
  <c r="B133"/>
  <c r="N133"/>
  <c r="O133"/>
  <c r="B229"/>
  <c r="N229"/>
  <c r="O229"/>
  <c r="B230"/>
  <c r="N230"/>
  <c r="O230"/>
  <c r="B83"/>
  <c r="N83"/>
  <c r="O83"/>
  <c r="B187"/>
  <c r="N187"/>
  <c r="O187"/>
  <c r="B217"/>
  <c r="N217"/>
  <c r="O217"/>
  <c r="B225"/>
  <c r="N225"/>
  <c r="O225"/>
  <c r="B298"/>
  <c r="N298"/>
  <c r="O298"/>
  <c r="B226"/>
  <c r="N226"/>
  <c r="O226"/>
  <c r="B28"/>
  <c r="N28"/>
  <c r="O28"/>
  <c r="B4"/>
  <c r="N4"/>
  <c r="O4"/>
  <c r="B322"/>
  <c r="N322"/>
  <c r="O322"/>
  <c r="B285"/>
  <c r="N285"/>
  <c r="O285"/>
  <c r="B278"/>
  <c r="N278"/>
  <c r="O278"/>
  <c r="B109"/>
  <c r="N109"/>
  <c r="O109"/>
  <c r="B296"/>
  <c r="N296"/>
  <c r="O296"/>
  <c r="B292"/>
  <c r="N292"/>
  <c r="O292"/>
  <c r="B324"/>
  <c r="N324"/>
  <c r="O324"/>
  <c r="B295"/>
  <c r="N295"/>
  <c r="O295"/>
  <c r="B75"/>
  <c r="N75"/>
  <c r="O75"/>
  <c r="B47"/>
  <c r="N47"/>
  <c r="O47"/>
  <c r="B192"/>
  <c r="N192"/>
  <c r="O192"/>
  <c r="B150"/>
  <c r="N150"/>
  <c r="O150"/>
  <c r="B139"/>
  <c r="N139"/>
  <c r="O139"/>
  <c r="B113"/>
  <c r="N113"/>
  <c r="O113"/>
  <c r="B64"/>
  <c r="N64"/>
  <c r="O64"/>
  <c r="B174"/>
  <c r="N174"/>
  <c r="O174"/>
  <c r="B122"/>
  <c r="N122"/>
  <c r="O122"/>
  <c r="B154"/>
  <c r="N154"/>
  <c r="O154"/>
  <c r="B326"/>
  <c r="N326"/>
  <c r="O326"/>
  <c r="B219"/>
  <c r="N219"/>
  <c r="O219"/>
  <c r="B103"/>
  <c r="N103"/>
  <c r="O103"/>
  <c r="B89"/>
  <c r="N89"/>
  <c r="O89"/>
  <c r="B246"/>
  <c r="N246"/>
  <c r="O246"/>
  <c r="B247"/>
  <c r="N247"/>
  <c r="O247"/>
  <c r="B175"/>
  <c r="N175"/>
  <c r="O175"/>
  <c r="B248"/>
  <c r="N248"/>
  <c r="O248"/>
  <c r="B231"/>
  <c r="N231"/>
  <c r="O231"/>
  <c r="B129"/>
  <c r="N129"/>
  <c r="O129"/>
  <c r="B232"/>
  <c r="N232"/>
  <c r="O232"/>
  <c r="B233"/>
  <c r="N233"/>
  <c r="O233"/>
  <c r="B189"/>
  <c r="N189"/>
  <c r="O189"/>
  <c r="B299"/>
  <c r="N299"/>
  <c r="O299"/>
  <c r="B147"/>
  <c r="N147"/>
  <c r="O147"/>
  <c r="B184"/>
  <c r="N184"/>
  <c r="O184"/>
  <c r="B176"/>
  <c r="N176"/>
  <c r="O176"/>
  <c r="B141"/>
  <c r="N141"/>
  <c r="O141"/>
  <c r="B294"/>
  <c r="N294"/>
  <c r="O294"/>
  <c r="B160"/>
  <c r="N160"/>
  <c r="O160"/>
  <c r="B90"/>
  <c r="N90"/>
  <c r="O90"/>
  <c r="B179"/>
  <c r="N179"/>
  <c r="O179"/>
  <c r="B33"/>
  <c r="N33"/>
  <c r="O33"/>
  <c r="B279"/>
  <c r="N279"/>
  <c r="O279"/>
  <c r="B161"/>
  <c r="N161"/>
  <c r="O161"/>
  <c r="B286"/>
  <c r="N286"/>
  <c r="O286"/>
  <c r="B84"/>
  <c r="N84"/>
  <c r="O84"/>
  <c r="B165"/>
  <c r="N165"/>
  <c r="O165"/>
  <c r="B314"/>
  <c r="N314"/>
  <c r="O314"/>
  <c r="B328"/>
  <c r="N328"/>
  <c r="O328"/>
  <c r="B166"/>
  <c r="N166"/>
  <c r="O166"/>
  <c r="B158"/>
  <c r="N158"/>
  <c r="O158"/>
  <c r="B53"/>
  <c r="N53"/>
  <c r="O53"/>
  <c r="B325"/>
  <c r="N325"/>
  <c r="O325"/>
  <c r="B327"/>
  <c r="N327"/>
  <c r="O327"/>
  <c r="B191"/>
  <c r="N191"/>
  <c r="O191"/>
  <c r="B201"/>
  <c r="N201"/>
  <c r="O201"/>
  <c r="B275"/>
  <c r="N275"/>
  <c r="O275"/>
  <c r="B168"/>
  <c r="N168"/>
  <c r="O168"/>
  <c r="B105"/>
  <c r="N105"/>
  <c r="O105"/>
  <c r="B146"/>
  <c r="N146"/>
  <c r="O146"/>
  <c r="B167"/>
  <c r="N167"/>
  <c r="O167"/>
  <c r="B276"/>
  <c r="N276"/>
  <c r="O276"/>
  <c r="B320"/>
  <c r="N320"/>
  <c r="O320"/>
  <c r="B277"/>
  <c r="N277"/>
  <c r="O277"/>
  <c r="B313"/>
  <c r="N313"/>
  <c r="O313"/>
  <c r="B199"/>
  <c r="N199"/>
  <c r="O199"/>
  <c r="B96"/>
  <c r="N96"/>
  <c r="O96"/>
  <c r="B135"/>
  <c r="N135"/>
  <c r="O135"/>
  <c r="B206"/>
  <c r="N206"/>
  <c r="O206"/>
  <c r="B306"/>
  <c r="N306"/>
  <c r="O306"/>
  <c r="B204"/>
  <c r="N204"/>
  <c r="O204"/>
  <c r="B257"/>
  <c r="N257"/>
  <c r="O257"/>
  <c r="B310"/>
  <c r="N310"/>
  <c r="O310"/>
  <c r="B262"/>
  <c r="N262"/>
  <c r="O262"/>
  <c r="B266"/>
  <c r="N266"/>
  <c r="O266"/>
  <c r="B9"/>
  <c r="N9"/>
  <c r="O9"/>
  <c r="B220"/>
  <c r="N220"/>
  <c r="O220"/>
  <c r="B218"/>
  <c r="B88"/>
  <c r="B284"/>
  <c r="N284"/>
  <c r="O284"/>
  <c r="B106"/>
  <c r="N106"/>
  <c r="O106"/>
  <c r="B45"/>
  <c r="N45"/>
  <c r="O45"/>
  <c r="B76"/>
  <c r="N76"/>
  <c r="O76"/>
  <c r="B67"/>
  <c r="N67"/>
  <c r="O67"/>
  <c r="B48"/>
  <c r="N48"/>
  <c r="O48"/>
  <c r="B97"/>
  <c r="N97"/>
  <c r="O97"/>
  <c r="B52"/>
  <c r="N52"/>
  <c r="O52"/>
  <c r="B281"/>
  <c r="N281"/>
  <c r="O281"/>
  <c r="B259"/>
  <c r="N259"/>
  <c r="O259"/>
  <c r="B56"/>
  <c r="N56"/>
  <c r="O56"/>
  <c r="B288"/>
  <c r="N288"/>
  <c r="O288"/>
  <c r="B251"/>
  <c r="N251"/>
  <c r="O251"/>
  <c r="B239"/>
  <c r="N239"/>
  <c r="O239"/>
  <c r="B65"/>
  <c r="N65"/>
  <c r="O65"/>
  <c r="B256"/>
  <c r="N256"/>
  <c r="O256"/>
  <c r="B60"/>
  <c r="N60"/>
  <c r="O60"/>
  <c r="B114"/>
  <c r="N114"/>
  <c r="O114"/>
  <c r="B51"/>
  <c r="N51"/>
  <c r="O51"/>
  <c r="B115"/>
  <c r="N115"/>
  <c r="O115"/>
  <c r="B19"/>
  <c r="N19"/>
  <c r="O19"/>
  <c r="B39"/>
  <c r="N39"/>
  <c r="O39"/>
  <c r="B270"/>
  <c r="N270"/>
  <c r="O270"/>
  <c r="B142"/>
  <c r="N142"/>
  <c r="O142"/>
  <c r="B152"/>
  <c r="N152"/>
  <c r="O152"/>
  <c r="B272"/>
  <c r="N272"/>
  <c r="O272"/>
  <c r="B145"/>
  <c r="N145"/>
  <c r="O145"/>
  <c r="B74"/>
  <c r="N74"/>
  <c r="O74"/>
  <c r="B78"/>
  <c r="N78"/>
  <c r="O78"/>
  <c r="B79"/>
  <c r="N79"/>
  <c r="O79"/>
  <c r="B80"/>
  <c r="N80"/>
  <c r="O80"/>
  <c r="B81"/>
  <c r="N81"/>
  <c r="O81"/>
  <c r="B82"/>
  <c r="N82"/>
  <c r="O82"/>
  <c r="B280"/>
  <c r="N280"/>
  <c r="O280"/>
  <c r="B77"/>
  <c r="N77"/>
  <c r="O77"/>
  <c r="B264"/>
  <c r="N264"/>
  <c r="O264"/>
  <c r="B265"/>
  <c r="N265"/>
  <c r="O265"/>
  <c r="B267"/>
  <c r="N267"/>
  <c r="O267"/>
  <c r="B268"/>
  <c r="N268"/>
  <c r="O268"/>
  <c r="B250"/>
  <c r="N250"/>
  <c r="O250"/>
  <c r="B55"/>
  <c r="N55"/>
  <c r="O55"/>
  <c r="B116"/>
  <c r="N116"/>
  <c r="O116"/>
  <c r="B255"/>
  <c r="N255"/>
  <c r="O255"/>
  <c r="B305"/>
  <c r="N305"/>
  <c r="O305"/>
  <c r="B69"/>
  <c r="N69"/>
  <c r="O69"/>
  <c r="B309"/>
  <c r="N309"/>
  <c r="O309"/>
  <c r="B261"/>
  <c r="N261"/>
  <c r="O261"/>
  <c r="B263"/>
  <c r="N263"/>
  <c r="O263"/>
  <c r="B269"/>
  <c r="N269"/>
  <c r="O269"/>
  <c r="B252"/>
  <c r="N252"/>
  <c r="O252"/>
  <c r="B181"/>
  <c r="N181"/>
  <c r="O181"/>
  <c r="B46"/>
  <c r="N46"/>
  <c r="O46"/>
  <c r="B73"/>
  <c r="N73"/>
  <c r="O73"/>
  <c r="B95"/>
  <c r="N95"/>
  <c r="O95"/>
  <c r="B253"/>
  <c r="N253"/>
  <c r="O253"/>
  <c r="B254"/>
  <c r="N254"/>
  <c r="O254"/>
  <c r="B260"/>
  <c r="N260"/>
  <c r="O260"/>
  <c r="B271"/>
  <c r="N271"/>
  <c r="O271"/>
  <c r="B249"/>
  <c r="N249"/>
  <c r="O249"/>
  <c r="B171"/>
  <c r="N171"/>
  <c r="O171"/>
  <c r="B7"/>
  <c r="N7"/>
  <c r="O7"/>
  <c r="B18"/>
  <c r="N18"/>
  <c r="O18"/>
  <c r="B2"/>
  <c r="N2"/>
  <c r="O2"/>
  <c r="B3"/>
  <c r="N3"/>
  <c r="O3"/>
  <c r="B25"/>
  <c r="N25"/>
  <c r="O25"/>
  <c r="B21"/>
  <c r="N21"/>
  <c r="O21"/>
  <c r="B15"/>
  <c r="N15"/>
  <c r="O15"/>
  <c r="B40"/>
  <c r="N40"/>
  <c r="O40"/>
  <c r="B22"/>
  <c r="N22"/>
  <c r="O22"/>
  <c r="B11"/>
  <c r="N11"/>
  <c r="O11"/>
  <c r="B12"/>
  <c r="N12"/>
  <c r="O12"/>
  <c r="B13"/>
  <c r="N13"/>
  <c r="O13"/>
  <c r="B203"/>
  <c r="N203"/>
  <c r="O203"/>
  <c r="B183"/>
  <c r="N183"/>
  <c r="O183"/>
  <c r="B159"/>
  <c r="N159"/>
  <c r="O159"/>
  <c r="B180"/>
  <c r="N180"/>
  <c r="O180"/>
  <c r="B163"/>
  <c r="N163"/>
  <c r="O163"/>
  <c r="B155"/>
  <c r="N155"/>
  <c r="O155"/>
  <c r="B173"/>
  <c r="N173"/>
  <c r="O173"/>
  <c r="B164"/>
  <c r="N164"/>
  <c r="O164"/>
  <c r="B156"/>
  <c r="N156"/>
  <c r="O156"/>
  <c r="B293"/>
  <c r="N293"/>
  <c r="O293"/>
  <c r="B297"/>
  <c r="N297"/>
  <c r="O297"/>
  <c r="B283"/>
  <c r="N283"/>
  <c r="O283"/>
  <c r="B301"/>
  <c r="N301"/>
  <c r="O301"/>
  <c r="B100"/>
  <c r="N100"/>
  <c r="O100"/>
  <c r="B151"/>
  <c r="N151"/>
  <c r="O151"/>
  <c r="B323"/>
  <c r="N323"/>
  <c r="O323"/>
  <c r="B93"/>
  <c r="N93"/>
  <c r="O93"/>
  <c r="B98"/>
  <c r="N98"/>
  <c r="O98"/>
  <c r="B108"/>
  <c r="N108"/>
  <c r="O108"/>
  <c r="B111"/>
  <c r="N111"/>
  <c r="O111"/>
  <c r="B102"/>
  <c r="N102"/>
  <c r="O102"/>
  <c r="B91"/>
  <c r="N91"/>
  <c r="O91"/>
  <c r="B273"/>
  <c r="N273"/>
  <c r="O273"/>
  <c r="B329"/>
  <c r="N329"/>
  <c r="O329"/>
  <c r="B138"/>
  <c r="N138"/>
  <c r="O138"/>
  <c r="B316"/>
  <c r="N316"/>
  <c r="O316"/>
  <c r="B216"/>
  <c r="N216"/>
  <c r="O216"/>
  <c r="B143"/>
  <c r="N143"/>
  <c r="O143"/>
  <c r="B35"/>
  <c r="N35"/>
  <c r="O35"/>
  <c r="B34"/>
  <c r="N34"/>
  <c r="O34"/>
  <c r="B43"/>
  <c r="N43"/>
  <c r="O43"/>
  <c r="B26"/>
  <c r="B182"/>
  <c r="B169"/>
  <c r="N169"/>
  <c r="O169"/>
  <c r="B149"/>
  <c r="N149"/>
  <c r="O149"/>
  <c r="B153"/>
  <c r="N153"/>
  <c r="O153"/>
  <c r="B317"/>
  <c r="N317"/>
  <c r="O317"/>
  <c r="B14"/>
  <c r="N14"/>
  <c r="O14"/>
  <c r="B207"/>
  <c r="N207"/>
  <c r="O207"/>
  <c r="B198"/>
  <c r="N198"/>
  <c r="O198"/>
  <c r="B200"/>
  <c r="N200"/>
  <c r="O200"/>
  <c r="B318"/>
  <c r="N318"/>
  <c r="O318"/>
  <c r="B144"/>
  <c r="N144"/>
  <c r="O144"/>
  <c r="B31"/>
  <c r="N31"/>
  <c r="O31"/>
  <c r="B24"/>
  <c r="N24"/>
  <c r="O24"/>
  <c r="B6"/>
  <c r="N6"/>
  <c r="O6"/>
  <c r="B41"/>
  <c r="N41"/>
  <c r="O41"/>
  <c r="B42"/>
  <c r="N42"/>
  <c r="O42"/>
  <c r="B307"/>
  <c r="N307"/>
  <c r="O307"/>
  <c r="B258"/>
  <c r="N258"/>
  <c r="O258"/>
  <c r="B170"/>
  <c r="N170"/>
  <c r="O170"/>
  <c r="B178"/>
  <c r="N178"/>
  <c r="O178"/>
  <c r="B205"/>
  <c r="N205"/>
  <c r="O205"/>
  <c r="B134"/>
  <c r="B302"/>
  <c r="B308"/>
  <c r="B194"/>
  <c r="N194"/>
  <c r="O194"/>
  <c r="B208"/>
  <c r="N208"/>
  <c r="O208"/>
  <c r="B162"/>
  <c r="B16"/>
  <c r="N16"/>
  <c r="O16"/>
  <c r="B177"/>
  <c r="B8"/>
  <c r="B20"/>
  <c r="B5"/>
  <c r="B37"/>
  <c r="N37"/>
  <c r="O37"/>
  <c r="B23"/>
  <c r="B32"/>
  <c r="B195"/>
  <c r="N195"/>
  <c r="O195"/>
  <c r="B17"/>
  <c r="N17"/>
  <c r="O17"/>
  <c r="B196"/>
  <c r="B319"/>
  <c r="N319"/>
  <c r="O319"/>
</calcChain>
</file>

<file path=xl/sharedStrings.xml><?xml version="1.0" encoding="utf-8"?>
<sst xmlns="http://schemas.openxmlformats.org/spreadsheetml/2006/main" count="3031" uniqueCount="969">
  <si>
    <t>Κατηγορία Μοριοδότησης</t>
  </si>
  <si>
    <t>Δήμος</t>
  </si>
  <si>
    <t>Δημοτική Ενότητα</t>
  </si>
  <si>
    <t>Κοινότητα</t>
  </si>
  <si>
    <t>Είδος</t>
  </si>
  <si>
    <t>Κωδ. ΥΠΠΘ</t>
  </si>
  <si>
    <t>Ονομασία</t>
  </si>
  <si>
    <t>Λειτουργικότητα</t>
  </si>
  <si>
    <t>Οργανικότητα</t>
  </si>
  <si>
    <t>Τηλέφωνο</t>
  </si>
  <si>
    <t>e-mail</t>
  </si>
  <si>
    <t>Ταχ. Διεύθυνση</t>
  </si>
  <si>
    <t>ΤΚ</t>
  </si>
  <si>
    <t>Γεωγραφικό Πλάτος</t>
  </si>
  <si>
    <t>Γεωγραφικό Μήκος</t>
  </si>
  <si>
    <t>Αναστολή</t>
  </si>
  <si>
    <t>Α</t>
  </si>
  <si>
    <t>ΘΕΣΣΑΛΟΝΙΚΗΣ</t>
  </si>
  <si>
    <t>ΚΑΛΑΜΑΡΙΑΣ</t>
  </si>
  <si>
    <t>Νηπιαγωγεία</t>
  </si>
  <si>
    <t>20ο ΝΗΠΙΑΓΩΓΕΙΟ ΚΑΛΑΜΑΡΙΑΣ</t>
  </si>
  <si>
    <t>mail@20nip-kalam.thess.sch.gr</t>
  </si>
  <si>
    <t>Γ.ΓΕΝΝΗΜΑΤΑ  38</t>
  </si>
  <si>
    <t>ΟΧΙ</t>
  </si>
  <si>
    <t>NAI</t>
  </si>
  <si>
    <t>19ο ΝΗΠΙΑΓΩΓΕΙΟ ΚΑΛΑΜΑΡΙΑΣ</t>
  </si>
  <si>
    <t>mail@19nip-kalam.thess.sch.gr</t>
  </si>
  <si>
    <t>ΑΛΙΣΤΡΑΤΗΣ ΚΑΙ Α. ΘΕΟΔΟΣΙΑΔΗ</t>
  </si>
  <si>
    <t>8ο ΝΗΠΙΑΓΩΓΕΙΟ ΚΑΛΑΜΑΡΙΑΣ</t>
  </si>
  <si>
    <t>mail@8nip-kalam.thess.sch.gr</t>
  </si>
  <si>
    <t>ΚΑΛΑΒΡΥΤΩΝ 14</t>
  </si>
  <si>
    <t>ΠΥΛΑΙΑΣ-ΧΟΡΤΙΑΤΗ</t>
  </si>
  <si>
    <t>ΠΑΝΟΡΑΜΑΤΟΣ</t>
  </si>
  <si>
    <t>Δημοτικά Σχολεία</t>
  </si>
  <si>
    <t>3ο ΔΗΜΟΤΙΚΟ ΣΧΟΛΕΙΟ ΠΑΝΟΡΑΜΑΤΟΣ</t>
  </si>
  <si>
    <t>12ο ΔΗΜΟΤΙΚΟ ΣΧΟΛΕΙΟ ΚΑΛΑΜΑΡΙΑΣ</t>
  </si>
  <si>
    <t>mail@12dim-kalam.thess.sch.gr</t>
  </si>
  <si>
    <t>ΠΟΝΤΟΥ 220</t>
  </si>
  <si>
    <t>Β</t>
  </si>
  <si>
    <t>ΘΕΡΜΗΣ</t>
  </si>
  <si>
    <t>ΤΑΓΑΡΑΔΩΝ</t>
  </si>
  <si>
    <t>ΔΗΜΟΤΙΚΟ ΣΧΟΛΕΙΟ ΤΑΓΑΡΑΔΩΝ</t>
  </si>
  <si>
    <t>mail@dim-tagar.thess.sch.gr</t>
  </si>
  <si>
    <t>ΓΡΑΜΜΟΥ ΒΙΤΣΙ 40</t>
  </si>
  <si>
    <t>20ο ΔΗΜΟΤΙΚΟ ΣΧΟΛΕΙΟ ΚΑΛΑΜΑΡΙΑΣ</t>
  </si>
  <si>
    <t>mail@20dim-kalam.thess.sch.gr</t>
  </si>
  <si>
    <t>ΦΩΚΑΙΑΣ 11</t>
  </si>
  <si>
    <t>3ου ΔΗΜ.ΔΙΑΜΕΡ.ΘΕΣΣΑΛΟΝΙΚΗΣ</t>
  </si>
  <si>
    <t>51ο ΔΗΜΟΤΙΚΟ ΣΧΟΛΕΙΟ ΘΕΣΣΑΛΟΝΙΚΗΣ</t>
  </si>
  <si>
    <t>mail@51dim-thess.thess.sch.gr</t>
  </si>
  <si>
    <t>ΚΑΣΣΑΝΔΡΟΥ 54</t>
  </si>
  <si>
    <t>4ου ΔΗΜ.ΔΙΑΜΕΡ.ΘΕΣΣΑΛΟΝΙΚΗΣ</t>
  </si>
  <si>
    <t>80ο ΔΗΜΟΤΙΚΟ ΣΧΟΛΕΙΟ ΘΕΣΣΑΛΟΝΙΚΗΣ</t>
  </si>
  <si>
    <t>mail@80dim-thess.thess.sch.gr</t>
  </si>
  <si>
    <t>ΒΑΛΤΕΤΣΙΟΥ 17</t>
  </si>
  <si>
    <t>1ου ΔΗΜ.ΔΙΑΜΕΡ.ΘΕΣΣΑΛΟΝΙΚΗΣ</t>
  </si>
  <si>
    <t>-</t>
  </si>
  <si>
    <t>26ο ΝΗΠΙΑΓΩΓΕΙΟ ΘΕΣΣΑΛΟΝΙΚΗΣ</t>
  </si>
  <si>
    <t>mail@26nip-thess.thess.sch.gr</t>
  </si>
  <si>
    <t>ΜΑΝΟΥΣΟΓΙΑΝΝΑΚΗ 4</t>
  </si>
  <si>
    <t>ΧΟΡΤΙΑΤΗ</t>
  </si>
  <si>
    <t>ΑΣΒΕΣΤΟΧΩΡΙΟΥ</t>
  </si>
  <si>
    <t>1ο ΔΗΜΟΤΙΚΟ ΣΧΟΛΕΙΟ ΑΣΒΕΣΤΟΧΩΡΙΟΥ</t>
  </si>
  <si>
    <t>mail@dim-asvest.thess.sch.gr</t>
  </si>
  <si>
    <t>ΑΣΒΕΣΤΟΧΩΡΙ</t>
  </si>
  <si>
    <t>ΗΡΩΩΝ ΠΕΣΟΝΤΩΝ 5</t>
  </si>
  <si>
    <t>28ο ΝΗΠΙΑΓΩΓΕΙΟ ΘΕΣΣΑΛΟΝΙΚΗΣ</t>
  </si>
  <si>
    <t>mail@28nip-thess.thess.sch.gr</t>
  </si>
  <si>
    <t>ΙΚΤΙΝΟΥ 5</t>
  </si>
  <si>
    <t>1ο ΔΗΜΟΤΙΚΟ ΣΧΟΛΕΙΟ ΘΕΡΜΗΣ</t>
  </si>
  <si>
    <t>mail@1dim-therm.thess.sch.gr</t>
  </si>
  <si>
    <t>ΜΑΚΡΥΓΙΑΝΝΗ 47</t>
  </si>
  <si>
    <t>30ο ΝΗΠΙΑΓΩΓΕΙΟ ΘΕΣΣΑΛΟΝΙΚΗΣ</t>
  </si>
  <si>
    <t>mail@30nip-thess.thess.sch.gr</t>
  </si>
  <si>
    <t>ΠΥΛΑΙΑΣ</t>
  </si>
  <si>
    <t>1ο ΔΗΜΟΤΙΚΟ ΣΧΟΛΕΙΟ ΠΥΛΑΙΑΣ</t>
  </si>
  <si>
    <t>mail@1dim-pylaias.thess.sch.gr</t>
  </si>
  <si>
    <t>ΙΣΜΗΝΗΣ 6</t>
  </si>
  <si>
    <t>31ο ΝΗΠΙΑΓΩΓΕΙΟ ΘΕΣΣΑΛΟΝΙΚΗΣ</t>
  </si>
  <si>
    <t>mail@31nip-thess.thess.sch.gr</t>
  </si>
  <si>
    <t>ΠΡΟΞΕΝΟΥΣ ΚΟΡΟΜΗΛΑ 25</t>
  </si>
  <si>
    <t>32ο ΝΗΠΙΑΓΩΓΕΙΟ ΘΕΣΣΑΛΟΝΙΚΗΣ</t>
  </si>
  <si>
    <t>mail@32nip-thess.thess.sch.gr</t>
  </si>
  <si>
    <t>ΣΤΕΦ. ΔΡΑΓΟΥΜΗ 7</t>
  </si>
  <si>
    <t>3ο ΔΗΜΟΤΙΚΟ ΣΧΟΛΕΙΟ ΘΕΡΜΗΣ-ΤΡΙΑΔΙΟΥ</t>
  </si>
  <si>
    <t>mail@3dim-therm.thess.sch.gr</t>
  </si>
  <si>
    <t>ΗΡΩΩΝ ΠΟΛΥΤΕΧΝΕΙΟΥ 40</t>
  </si>
  <si>
    <t>106ο ΔΗΜΟΤΙΚΟ ΣΧΟΛΕΙΟ ΘΕΣΣΑΛΟΝΙΚΗΣ</t>
  </si>
  <si>
    <t>mail@106dim-thess.thess.sch.gr</t>
  </si>
  <si>
    <t>ΑΡΓΥΡΙΟΥ ΖΑΧΟΥ 20</t>
  </si>
  <si>
    <t>5ου ΔΗΜ.ΔΙΑΜΕΡ.ΘΕΣΣΑΛΟΝΙΚΗΣ</t>
  </si>
  <si>
    <t>90ο ΔΗΜΟΤΙΚΟ ΣΧΟΛΕΙΟ ΘΕΣΣΑΛΟΝΙΚΗΣ</t>
  </si>
  <si>
    <t>mail@90dim-thess.thess.sch.gr</t>
  </si>
  <si>
    <t>ΜΑΡΚΟΥ ΜΠΟΤΣΑΡΗ 45</t>
  </si>
  <si>
    <t>4ο ΔΗΜΟΤΙΚΟ ΣΧΟΛΕΙΟ ΘΕΣΣΑΛΟΝΙΚΗΣ</t>
  </si>
  <si>
    <t>mail@4dim-thess.thess.sch.gr</t>
  </si>
  <si>
    <t>ΔΕΛΦΩΝ 150</t>
  </si>
  <si>
    <t>2ο ΔΗΜΟΤΙΚΟ ΣΧΟΛΕΙΟ ΚΑΛΑΜΑΡΙΑΣ</t>
  </si>
  <si>
    <t>mail@2dim-kalam.thess.sch.gr</t>
  </si>
  <si>
    <t>ΠΑΠΑΓΟΥ &amp; ΚΑΛΛΙΔΟΥ</t>
  </si>
  <si>
    <t>23ο ΔΗΜΟΤΙΚΟ ΣΧΟΛΕΙΟ ΚΑΛΑΜΑΡΙΑΣ</t>
  </si>
  <si>
    <t>mail@23dim-kalam.thess.sch.gr</t>
  </si>
  <si>
    <t>ΘΕΡΜΑΙΚΟΥ &amp; Κ. ΠΑΛΑΜΑ</t>
  </si>
  <si>
    <t>2ου ΔΗΜ.ΔΙΑΜΕΡ.ΘΕΣΣΑΛΟΝΙΚΗΣ</t>
  </si>
  <si>
    <t>61ο ΔΗΜΟΤΙΚΟ ΣΧΟΛΕΙΟ ΘΕΣΣΑΛΟΝΙΚΗΣ</t>
  </si>
  <si>
    <t>mail@61dim-thess.thess.sch.gr</t>
  </si>
  <si>
    <t>ΑΡΧΑΙΟΤΗΤΩΝ 3</t>
  </si>
  <si>
    <t>2ο ΝΗΠΙΑΓΩΓΕΙΟ ΠΑΝΟΡΑΜΑΤΟΣ</t>
  </si>
  <si>
    <t>mail@2nip-panor.thess.sch.gr</t>
  </si>
  <si>
    <t>ΠΑΛΑΙΟΛΟΓΟΥ &amp; ΠΕΡΔΙΚΑ</t>
  </si>
  <si>
    <t>22ο ΝΗΠΙΑΓΩΓΕΙΟ ΚΑΛΑΜΑΡΙΑΣ</t>
  </si>
  <si>
    <t>mail@22nip-kalam.thess.sch.gr</t>
  </si>
  <si>
    <t>ΠΑΤΜΟΥ 13</t>
  </si>
  <si>
    <t>11ο ΔΗΜΟΤΙΚΟ ΣΧΟΛΕΙΟ ΚΑΛΑΜΑΡΙΑΣ - ΑΓΙΟΣ ΠΑΝΤΕΛΕΗΜΟΝΑΣ</t>
  </si>
  <si>
    <t>mail@11dim-kalam.thess.sch.gr</t>
  </si>
  <si>
    <t>ΦΙΛΕΛΛΗΝΩΝ 9</t>
  </si>
  <si>
    <t>83ο ΔΗΜΟΤΙΚΟ ΣΧΟΛΕΙΟ ΘΕΣΣΑΛΟΝΙΚΗΣ</t>
  </si>
  <si>
    <t>mail@83dim-thess.thess.sch.gr</t>
  </si>
  <si>
    <t>Π. ΚΑΡΟΛΙΔΗ 10</t>
  </si>
  <si>
    <t>36ο ΔΗΜΟΤΙΚΟ ΣΧΟΛΕΙΟ ΘΕΣΣΑΛΟΝΙΚΗΣ- ΜΙΛΤΟΣ ΚΟΥΝΤΟΥΡΑΣ</t>
  </si>
  <si>
    <t>mail@36dim-thess.thess.sch.gr</t>
  </si>
  <si>
    <t>ΑΓΙΑΣ ΣΟΦΙΑΣ 66</t>
  </si>
  <si>
    <t>79ο ΔΗΜΟΤΙΚΟ ΣΧΟΛΕΙΟ ΘΕΣΣΑΛΟΝΙΚΗΣ</t>
  </si>
  <si>
    <t>79dimthe@sch.gr</t>
  </si>
  <si>
    <t>Ν. ΠΛΑΣΤΗΡΑ 6 - Θ. ΓΑΖΗ</t>
  </si>
  <si>
    <t>67ο ΔΗΜΟΤΙΚΟ ΣΧΟΛΕΙΟ ΘΕΣΣΑΛΟΝΙΚΗΣ</t>
  </si>
  <si>
    <t>mail@67dim-thess.thess.sch.gr</t>
  </si>
  <si>
    <t>Δ. ΠΑΠΑΘΑΝΑΣΙΟΥ 41</t>
  </si>
  <si>
    <t>13ο ΔΗΜΟΤΙΚΟ ΣΧΟΛΕΙΟ ΚΑΛΑΜΑΡΙΑΣ</t>
  </si>
  <si>
    <t>mail@13dim-kalam.thess.sch.gr</t>
  </si>
  <si>
    <t>ΜΑΚΡΟΧΩΡΙΟΥ 1 ΠΛ. ΣΚΡΑ</t>
  </si>
  <si>
    <t>ΑΔΡΑΜΥΤΙΟΥ 2</t>
  </si>
  <si>
    <t>7ο ΔΗΜΟΤΙΚΟ ΣΧΟΛΕΙΟ ΚΑΛΑΜΑΡΙΑΣ</t>
  </si>
  <si>
    <t>mail@7dim-kalam.thess.sch.gr</t>
  </si>
  <si>
    <t>ΖΗΡΓΑΝΟΥ-ΕΡΥΘΡΟΥ ΣΤΑΥΡΟΥ</t>
  </si>
  <si>
    <t>1ο ΔΗΜΟΤΙΚΟ ΣΧΟΛΕΙΟ ΚΑΛΑΜΑΡΙΑΣ</t>
  </si>
  <si>
    <t>mail@1dim-kalam.thess.sch.gr</t>
  </si>
  <si>
    <t>Τ.ΟΙΚΟΝΟΜΙΔΗ 52</t>
  </si>
  <si>
    <t>35ο ΝΗΠΙΑΓΩΓΕΙΟ ΘΕΣΣΑΛΟΝΙΚΗΣ</t>
  </si>
  <si>
    <t>mail@35nip-thess.thess.sch.gr</t>
  </si>
  <si>
    <t>Κ. ΚΡΥΣΤΑΛΛΗ 10</t>
  </si>
  <si>
    <t>17ο ΔΗΜΟΤΙΚΟ ΣΧΟΛΕΙΟ ΚΑΛΑΜΑΡΙΑΣ</t>
  </si>
  <si>
    <t>mail@17dim-kalam.thess.sch.gr</t>
  </si>
  <si>
    <t>ΑΝ. ΘΡΑΚΗΣ 10</t>
  </si>
  <si>
    <t>ΘΕΡΜΑΪΚΟΥ</t>
  </si>
  <si>
    <t>ΠΕΡΑΙΑΣ</t>
  </si>
  <si>
    <t>1ο ΔΗΜΟΤΙΚΟ ΣΧΟΛΕΙΟ ΠΕΡΑΙΑΣ</t>
  </si>
  <si>
    <t>mail@1dim-peraias.thess.sch.gr</t>
  </si>
  <si>
    <t>ΑΜΠΕΛΟΚΗΠΩΝ 56</t>
  </si>
  <si>
    <t>55ο ΔΗΜΟΤΙΚΟ ΣΧΟΛΕΙΟ ΘΕΣΣΑΛΟΝΙΚΗΣ</t>
  </si>
  <si>
    <t>mail@55dim-thess.thess.sch.gr</t>
  </si>
  <si>
    <t>63ο ΔΗΜΟΤΙΚΟ ΣΧΟΛΕΙΟ ΘΕΣΣΑΛΟΝΙΚΗΣ</t>
  </si>
  <si>
    <t>mail@63dim-thess.thess.sch.gr</t>
  </si>
  <si>
    <t>ΣΕΛΙΤΣΗΣ 2 ΕΝΑΝΤΙ Ν. Σ. ΣΤΑΘΜΟΥ</t>
  </si>
  <si>
    <t>25ο ΝΗΠΙΑΓΩΓΕΙΟ ΚΑΛΑΜΑΡΙΑΣ</t>
  </si>
  <si>
    <t>mail@25nip-kalam.thess.sch.gr</t>
  </si>
  <si>
    <t>ΚΟΥΣΚΟΥΡΑ 32</t>
  </si>
  <si>
    <t>2ο ΝΗΠΙΑΓΩΓΕΙΟ ΠΥΛΑΙΑΣ</t>
  </si>
  <si>
    <t>mail@2nip-pylaias.thess.sch.gr</t>
  </si>
  <si>
    <t>ΒΕΡΓΙΝΑΣ 15</t>
  </si>
  <si>
    <t>37ο ΝΗΠΙΑΓΩΓΕΙΟ ΘΕΣΣΑΛΟΝΙΚΗΣ</t>
  </si>
  <si>
    <t>mail@37nip-thess.thess.sch.gr</t>
  </si>
  <si>
    <t>ΚΟΛΩΝΙΑΡΗ &amp; ΔΡΑΓΟΥΜΑΝΟΥ 13</t>
  </si>
  <si>
    <t>38ο ΝΗΠΙΑΓΩΓΕΙΟ ΘΕΣΣΑΛΟΝΙΚΗΣ</t>
  </si>
  <si>
    <t>mail@38nip-thess.thess.sch.gr</t>
  </si>
  <si>
    <t>ΜΟΝΑΣΤΗΡΙΟΥ ΕΝΑΝΤΙ Ν.Σ.ΣΤΑΘΜΟΥ</t>
  </si>
  <si>
    <t>8ο ΔΗΜΟΤΙΚΟ ΣΧΟΛΕΙΟ ΚΑΛΑΜΑΡΙΑΣ</t>
  </si>
  <si>
    <t>mail@8dim-kalam.thess.sch.gr</t>
  </si>
  <si>
    <t>ΜΟΥΣΩΝ 1</t>
  </si>
  <si>
    <t>1ο ΝΗΠΙΑΓΩΓΕΙΟ ΠΥΛΑΙΑΣ</t>
  </si>
  <si>
    <t>mail@1nip-pylaias.thess.sch.gr</t>
  </si>
  <si>
    <t>ΗΛΕΚΤΡΑΣ 2</t>
  </si>
  <si>
    <t>66ο ΔΗΜΟΤΙΚΟ ΣΧΟΛΕΙΟ ΘΕΣΣΑΛΟΝΙΚΗΣ</t>
  </si>
  <si>
    <t>mail@66dim-thess.thess.sch.gr</t>
  </si>
  <si>
    <t>ΚΑΠΑΤΟΥ  8</t>
  </si>
  <si>
    <t>10ο ΔΗΜΟΤΙΚΟ ΣΧΟΛΕΙΟ ΚΑΛΑΜΑΡΙΑΣ</t>
  </si>
  <si>
    <t>mail@10dim-kalam.thess.sch.gr</t>
  </si>
  <si>
    <t>ΒΡΥΟΥΛΩΝ 51</t>
  </si>
  <si>
    <t>ΝΕΑΣ ΡΑΙΔΕΣΤΟΥ</t>
  </si>
  <si>
    <t>1ο ΝΗΠΙΑΓΩΓΕΙΟ ΝΕΑΣ ΡΑΙΔΕΣΤΟΥ</t>
  </si>
  <si>
    <t>mail@1nip-n-radaist.thess.sch.gr</t>
  </si>
  <si>
    <t>ΑΡΙΣΤΟΤΕΛΟΥΣ 9</t>
  </si>
  <si>
    <t>ΠΕΙΡΑΜΑΤΙΚΟ ΔΗΜΟΤΙΚΟ ΣΧΟΛΕΙΟ ΔΙΑΠΟΛΙΤΙΣΜΙΚΗΣ ΕΚΠΑΙΔΕΥΣΗΣ ΘΕΣΣΑΛΟΝΙΚΗΣ</t>
  </si>
  <si>
    <t>mail@dim-diap-thess.thess.sch.gr</t>
  </si>
  <si>
    <t>ΚΑΠΑΤΟΥ 6 &amp; ΓΑΛΑΝΑΚΗ</t>
  </si>
  <si>
    <t>47ο ΝΗΠΙAΓΩΓΕΙΟ ΘΕΣΣΑΛΟΝΙΚΗΣ</t>
  </si>
  <si>
    <t>mail@47nip-thess.thess.sch.gr</t>
  </si>
  <si>
    <t>ΚΑΠΕΤΑΝ ΑΓΡΑ 49</t>
  </si>
  <si>
    <t>101ο ΔΗΜΟΤΙΚΟ ΣΧΟΛΕΙΟ ΘΕΣΣΑΛΟΝΙΚΗΣ</t>
  </si>
  <si>
    <t>mail@101dim-thess.thess.sch.gr</t>
  </si>
  <si>
    <t>ΑΜΜΟΧΩΣΤΟΥ 2</t>
  </si>
  <si>
    <t>49ο ΝΗΠΙΑΓΩΓΕΙΟ ΘΕΣΣΑΛΟΝΙΚΗΣ</t>
  </si>
  <si>
    <t>mail@49nip-thess.thess.sch.gr</t>
  </si>
  <si>
    <t>14ο ΝΗΠΙΑΓΩΓΕΙΟ ΚΑΛΑΜΑΡΙΑΣ</t>
  </si>
  <si>
    <t>mail@14nip-kalam.thess.sch.gr</t>
  </si>
  <si>
    <t>ΙΣΜΗΝΗΣ 7</t>
  </si>
  <si>
    <t>50ο ΝΗΠΙΑΓΩΓΕΙΟ ΘΕΣΣΑΛΟΝΙΚΗΣ</t>
  </si>
  <si>
    <t>mail@50nip-thess.thess.sch.gr</t>
  </si>
  <si>
    <t>ΑΓ. ΣΟΦΙΑΣ 66</t>
  </si>
  <si>
    <t>4ο ΔΗΜΟΤΙΚΟ ΣΧΟΛΕΙΟ ΘΕΡΜΗΣ</t>
  </si>
  <si>
    <t>mail@4dim-therm.thess.sch.gr</t>
  </si>
  <si>
    <t>ΘΕΣΗ ΑΠΟΘΗΚΕΣ  Τ.Θ. Δ 1091</t>
  </si>
  <si>
    <t>53ο ΝΗΠΙΑΓΩΓΕΙΟ ΘΕΣΣΑΛΟΝΙΚΗΣ</t>
  </si>
  <si>
    <t>mail@53nip-thess.thess.sch.gr</t>
  </si>
  <si>
    <t>ΕΓΝΑΤΙΑΣ 129</t>
  </si>
  <si>
    <t>11ο ΔΗΜΟΤΙΚΟ ΣΧΟΛΕΙΟ ΘΕΣΣΑΛΟΝΙΚΗΣ</t>
  </si>
  <si>
    <t>mail@11dim-thess.thess.sch.gr</t>
  </si>
  <si>
    <t>ΑΜΑΛΙΑΣ 60-62</t>
  </si>
  <si>
    <t>9ο ΔΗΜΟΤΙΚΟ ΣΧΟΛΕΙΟ ΘΕΣΣΑΛΟΝΙΚΗΣ</t>
  </si>
  <si>
    <t>mail@9dim-thess.thess.sch.gr</t>
  </si>
  <si>
    <t>ΔΕΛΦΩΝ 35</t>
  </si>
  <si>
    <t>5ο ΝΗΠΙΑΓΩΓΕΙΟ ΘΕΡΜΗΣ</t>
  </si>
  <si>
    <t>mail@5nip-therm.thess.sch.gr</t>
  </si>
  <si>
    <t>ΘΕΣΗ ΑΠΟΘΗΚΕΣ Τ.Θ. Δ 1091</t>
  </si>
  <si>
    <t>33ο ΔΗΜΟΤΙΚΟ ΣΧΟΛΕΙΟ ΘΕΣΣΑΛΟΝΙΚΗΣ - ΑΣΥΛΟ ΤΟΥ ΠΑΙΔΙΟΥ</t>
  </si>
  <si>
    <t>mail@33dim-thess.thess.sch.gr</t>
  </si>
  <si>
    <t>ΣΤΕΛΙΟΥ ΚΑΖΑΝΤΖΙΔΗ 62 - 64</t>
  </si>
  <si>
    <t>ΜΙΚΡΑΣ</t>
  </si>
  <si>
    <t>ΚΑΡΔΙΑΣ</t>
  </si>
  <si>
    <t>1ο ΝΗΠΙΑΓΩΓΕΙΟ ΚΑΡΔΙΑΣ</t>
  </si>
  <si>
    <t>mail@nip-kardias.thess.sch.gr</t>
  </si>
  <si>
    <t>ΠΟΣΕΙΔΩΝΟΣ 4</t>
  </si>
  <si>
    <t>54ο ΝΗΠΙΑΓΩΓΕΙΟ ΘΕΣΣΑΛΟΝΙΚΗΣ</t>
  </si>
  <si>
    <t>mail@54nip-thess.thess.sch.gr</t>
  </si>
  <si>
    <t>ΕΛΕΥΘΕΡΩΝ 14</t>
  </si>
  <si>
    <t>ΕΠΑΝΟΜΗΣ</t>
  </si>
  <si>
    <t>3ο ΝΗΠΙΑΓΩΓΕΙΟ ΕΠΑΝΟΜΗΣ</t>
  </si>
  <si>
    <t>mail@3nip-epanom.thess.sch.gr</t>
  </si>
  <si>
    <t>ΕΝΑΝΤΙ ΑΓΙΟΥ ΣΠΥΡΙΔΩΝΑ</t>
  </si>
  <si>
    <t>11ο ΕΙΔΙΚΟ ΔΗΜΟΤΙΚΟ ΣΧΟΛΕΙΟ ΘΕΣΣΑΛΟΝΙΚΗΣ - ΝΟΣΟΚΟΜΕΙΑΚΟ</t>
  </si>
  <si>
    <t>mail@11dim-eid-thess.thess.sch.gr</t>
  </si>
  <si>
    <t>ΕΘΝΙΚΗΣ ΑΜΥΝΗΣ 41</t>
  </si>
  <si>
    <t>105ο ΔΗΜΟΤΙΚΟ ΣΧΟΛΕΙΟ ΘΕΣΣΑΛΟΝΙΚΗΣ</t>
  </si>
  <si>
    <t>105dimthe@sch.gr</t>
  </si>
  <si>
    <t>ΑΛ. ΣΠΑΝΟΥ 4</t>
  </si>
  <si>
    <t>3ο ΝΗΠΙΑΓΩΓΕΙΟ ΘΕΡΜΗΣ</t>
  </si>
  <si>
    <t>mail@3nip-therm.thess.sch.gr</t>
  </si>
  <si>
    <t>ΚΑΠΕΤΑΝ ΧΑΨΑ 6</t>
  </si>
  <si>
    <t>37ο ΔΗΜΟΤΙΚΟ ΣΧΟΛΕΙΟ ΘΕΣΣΑΛΟΝΙΚΗΣ</t>
  </si>
  <si>
    <t>mail@37dim-thess.thess.sch.gr</t>
  </si>
  <si>
    <t>ΟΛΥΜΠΟΥ 101</t>
  </si>
  <si>
    <t>59ο ΔΗΜΟΤΙΚΟ ΣΧΟΛΕΙΟ ΘΕΣΣΑΛΟΝΙΚΗΣ</t>
  </si>
  <si>
    <t>mail@59dim-thess.thess.sch.gr</t>
  </si>
  <si>
    <t>ΔΗΜΟΤΙΚΟ ΣΧΟΛΕΙΟ ΚΑΡΔΙΑΣ</t>
  </si>
  <si>
    <t>mail@dim-kardias.thess.sch.gr</t>
  </si>
  <si>
    <t>ΒΥΖΑΝΤΙΟΥ 2</t>
  </si>
  <si>
    <t>15ο ΔΗΜΟΤΙΚΟ ΣΧΟΛΕΙΟ ΘΕΣΣΑΛΟΝΙΚΗΣ</t>
  </si>
  <si>
    <t>mail@15dim-thess.thess.sch.gr</t>
  </si>
  <si>
    <t>ΖΑΦΕΙΡΗ ΠΑΠΑΖΑΦΕΙΡΙΟΥ 4</t>
  </si>
  <si>
    <t>1ο ΝΗΠΙΑΓΩΓΕΙΟ ΘΕΡΜΗΣ</t>
  </si>
  <si>
    <t>mail@1nip-therm.thess.sch.gr</t>
  </si>
  <si>
    <t>ΔΗΜΟΚΡΑΤΙΑΣ 3</t>
  </si>
  <si>
    <t>4ο ΔΗΜΟΤΙΚΟ ΣΧΟΛΕΙΟ ΚΑΛΑΜΑΡΙΑΣ</t>
  </si>
  <si>
    <t>mail@4dim-kalam.thess.sch.gr</t>
  </si>
  <si>
    <t>Μ.ΚΑΛΛΙΔΟΥ-ΠΑΠΑΓΟΥ</t>
  </si>
  <si>
    <t>1ο ΝΗΠΙΑΓΩΓΕΙΟ ΑΣΒΕΣΤΟΧΩΡΙΟΥ</t>
  </si>
  <si>
    <t>mail@1nip-asvest.thess.sch.gr</t>
  </si>
  <si>
    <t>ΠΕΣΟΝΤΩΝ ΗΡΩΩΝ 5</t>
  </si>
  <si>
    <t>ΒΑΣΙΛΙΚΩΝ</t>
  </si>
  <si>
    <t>ΣΟΥΡΩΤΗΣ</t>
  </si>
  <si>
    <t>ΝΗΠΙΑΓΩΓΕΙΟ ΣΟΥΡΩΤΗΣ</t>
  </si>
  <si>
    <t>mail@1nip-sourot.thess.sch.gr</t>
  </si>
  <si>
    <t>ΠΑΥΛΟΥ ΜΕΛΑ 1</t>
  </si>
  <si>
    <t>54ο ΔΗΜΟΤΙΚΟ ΣΧΟΛΕΙΟ ΘΕΣΣΑΛΟΝΙΚΗΣ</t>
  </si>
  <si>
    <t>mail@54dim-thess.thess.sch.gr</t>
  </si>
  <si>
    <t>ΣΤ.ΔΡΑΓΟΥΜΗ  7-9</t>
  </si>
  <si>
    <t>77ο ΔΗΜΟΤΙΚΟ ΣΧΟΛΕΙΟ ΘΕΣΣΑΛΟΝΙΚΗΣ</t>
  </si>
  <si>
    <t>mail@77dim-thess.thess.sch.gr</t>
  </si>
  <si>
    <t>ΚΑΒΕΙΡΩΝ 6</t>
  </si>
  <si>
    <t>4ο ΝΗΠΙΑΓΩΓΕΙΟ ΠΥΛΑΙΑΣ</t>
  </si>
  <si>
    <t>mail@4nip-pylaias.thess.sch.gr</t>
  </si>
  <si>
    <t>ΠΕΡΡΑΙΒΟΥ 1</t>
  </si>
  <si>
    <t>2ο ΝΗΠΙΑΓΩΓΕΙΟ ΘΕΡΜΗΣ</t>
  </si>
  <si>
    <t>mail@2nip-therm.thess.sch.gr</t>
  </si>
  <si>
    <t>ΠΟΝΤΟΥ 45</t>
  </si>
  <si>
    <t>ΤΡΙΑΝΔΡΙΑΣ</t>
  </si>
  <si>
    <t>1ο ΝΗΠΙΑΓΩΓΕΙΟ ΤΡΙΑΝΔΡΙΑΣ ΘΕΣΣΑΛΟΝΙΚΗΣ</t>
  </si>
  <si>
    <t>mail@1nip-triandr.thess.sch.gr</t>
  </si>
  <si>
    <t>ΑΓΙΟΥ ΣΠΥΡΙΔΩΝΟΣ 2</t>
  </si>
  <si>
    <t>19ο ΝΗΠΙΑΓΩΓΕΙΟ ΘΕΣΣΑΛΟΝΙΚΗΣ</t>
  </si>
  <si>
    <t>mail@19nip-thess.thess.sch.gr</t>
  </si>
  <si>
    <t>ΜΗΤΣΑΚΗ 1</t>
  </si>
  <si>
    <t>1ο ΝΗΠΙΑΓΩΓΕΙΟ ΠΑΝΟΡΑΜΑΤΟΣ</t>
  </si>
  <si>
    <t>mail@1nip-panor.thess.sch.gr</t>
  </si>
  <si>
    <t>ΒΕΝΙΖΕΛΟΥ ΤΕΡΜΑ</t>
  </si>
  <si>
    <t>20ο ΝΗΠΙΑΓΩΓΕΙΟ ΘΕΣΣΑΛΟΝΙΚΗΣ</t>
  </si>
  <si>
    <t>mail@20nip-thess.thess.sch.gr</t>
  </si>
  <si>
    <t>ΠΕΣΤΩΝ 55-63</t>
  </si>
  <si>
    <t>21ο ΝΗΠΙΑΓΩΓΕΙΟ ΘΕΣΣΑΛΟΝΙΚΗΣ</t>
  </si>
  <si>
    <t>mail@21nip-thess.thess.sch.gr</t>
  </si>
  <si>
    <t>ΠΕΡΔΙΚΑ 8</t>
  </si>
  <si>
    <t>22ο ΝΗΠΙΑΓΩΓΕΙΟ ΘΕΣΣΑΛΟΝΙΚΗΣ</t>
  </si>
  <si>
    <t>mail@22nip-thess.thess.sch.gr</t>
  </si>
  <si>
    <t>ΣΙΦΝΟΥ 9</t>
  </si>
  <si>
    <t>23ο ΝΗΠΙΑΓΩΓΕΙΟ ΘΕΣΣΑΛΟΝΙΚΗΣ</t>
  </si>
  <si>
    <t>mail@23nip-thess.thess.sch.gr</t>
  </si>
  <si>
    <t>43ο ΝΗΠΙΑΓΩΓΕΙΟ ΘΕΣΣΑΛΟΝΙΚΗΣ</t>
  </si>
  <si>
    <t>mail@43nip-thess.thess.sch.gr</t>
  </si>
  <si>
    <t>ΤΕΡΜΑ ΔΙΔΑΣΚΑΛΟΥ ΑΔΑΜΙΔΗ</t>
  </si>
  <si>
    <t>48ο ΝΗΠΙΑΓΩΓΕΙΟ ΘΕΣΣΑΛΟΝΙΚΗΣ</t>
  </si>
  <si>
    <t>mail@48nip-thess.thess.sch.gr</t>
  </si>
  <si>
    <t>ΕΠΙΔΑΥΡΟΥ 9</t>
  </si>
  <si>
    <t>3ο ΔΗΜΟΤΙΚΟ ΣΧΟΛΕΙΟ ΚΑΛΑΜΑΡΙΑΣ</t>
  </si>
  <si>
    <t>mail@3dim-kalam.thess.sch.gr</t>
  </si>
  <si>
    <t>ΚΟΛΟΤΟΥΡΟΥ 10</t>
  </si>
  <si>
    <t>55ο ΝΗΠΙΑΓΩΓΕΙΟ ΘΕΣΣΑΛΟΝΙΚΗΣ</t>
  </si>
  <si>
    <t>mail@55nip-thess.thess.sch.gr</t>
  </si>
  <si>
    <t>ΙΠΠΟΔΡΟΜΙΟΥ 88</t>
  </si>
  <si>
    <t>56ο ΝΗΠΙΑΓΩΓΕΙΟ ΘΕΣΣΑΛΟΝΙΚΗΣ - ΤΕΝΕΚΕΔΕΝΙΟ</t>
  </si>
  <si>
    <t>mail@56nip-thess.thess.sch.gr</t>
  </si>
  <si>
    <t>ΠΥΛΑΙΑΣ 1</t>
  </si>
  <si>
    <t>2ο ΔΗΜΟΤΙΚΟ ΣΧΟΛΕΙΟ ΠΑΝΟΡΑΜΑΤΟΣ</t>
  </si>
  <si>
    <t>mail@2dim-panor.thess.sch.gr</t>
  </si>
  <si>
    <t>ΠΑΛΑΙΟΛΟΓΟΥ 11</t>
  </si>
  <si>
    <t>77ο ΝΗΠΙΑΓΩΓΕΙΟ ΘΕΣΣΑΛΟΝΙΚΗΣ</t>
  </si>
  <si>
    <t>mail@77nip-thess.thess.sch.gr</t>
  </si>
  <si>
    <t>ΒΟΣΠΟΡΟΥ 66</t>
  </si>
  <si>
    <t>81ο ΝΗΠΙΑΓΩΓΕΙΟ ΘΕΣΣΑΛΟΝΙΚΗΣ</t>
  </si>
  <si>
    <t>mail@81nip-thess.thess.sch.gr</t>
  </si>
  <si>
    <t>ΠΟΝΤΟΥ 40</t>
  </si>
  <si>
    <t>6ο ΔΗΜΟΤΙΚΟ ΣΧΟΛΕΙΟ ΚΑΛΑΜΑΡΙΑΣ</t>
  </si>
  <si>
    <t>mail@6dim-kalam.thess.sch.gr</t>
  </si>
  <si>
    <t>ΣΜΥΡΝΗΣ 51</t>
  </si>
  <si>
    <t>ΜΗΧΑΝΙΩΝΑΣ</t>
  </si>
  <si>
    <t>ΝΕΑΣ ΚΕΡΑΣΙΑΣ</t>
  </si>
  <si>
    <t>ΝΗΠΙΑΓΩΓΕΙΟ ΝΕΑΣ ΚΕΡΑΣΙΑΣ</t>
  </si>
  <si>
    <t>nipkerasia@sch.gr</t>
  </si>
  <si>
    <t>ΑΓΙΟΥ ΑΘΑΝΑΣΙΟΥ 1</t>
  </si>
  <si>
    <t>88ο ΔΗΜΟΤΙΚΟ ΣΧΟΛΕΙΟ ΘΕΣΣΑΛΟΝΙΚΗΣ</t>
  </si>
  <si>
    <t>mail@88dim-thess.thess.sch.gr</t>
  </si>
  <si>
    <t>ΖΑΜΠΕΛΙΟΥ 2-4</t>
  </si>
  <si>
    <t>9ο ΔΗΜΟΤΙΚΟ ΣΧΟΛΕΙΟ ΚΑΛΑΜΑΡΙΑΣ</t>
  </si>
  <si>
    <t>mail@9dim-kalam.thess.sch.gr</t>
  </si>
  <si>
    <t>ΝΥΜΦΩΝ 1</t>
  </si>
  <si>
    <t>60ο ΝΗΠΙΑΓΩΓΕΙΟ ΘΕΣΣΑΛΟΝΙΚΗΣ</t>
  </si>
  <si>
    <t>mail@60nip-thess.thess.sch.gr</t>
  </si>
  <si>
    <t>ΠΛΑΤΕΙΑ ΑΓ. ΑΝΑΡΓΥΡΩΝ 4</t>
  </si>
  <si>
    <t>61ο ΝΗΠΙΑΓΩΓΕΙΟ ΘΕΣΣΑΛΟΝΙΚΗΣ</t>
  </si>
  <si>
    <t>mail@61nip-thess.thess.sch.gr</t>
  </si>
  <si>
    <t>ΟΛΥΜΠΙΑΔΟΣ 94</t>
  </si>
  <si>
    <t>30ο ΔΗΜΟΤΙΚΟ ΣΧΟΛΕΙΟ ΘΕΣΣΑΛΟΝΙΚΗΣ</t>
  </si>
  <si>
    <t>mail@30dim-thess.thess.sch.gr</t>
  </si>
  <si>
    <t>ΙΩΑΝΝΙΝΩΝ 20</t>
  </si>
  <si>
    <t>1ο ΝΗΠΙΑΓΩΓΕΙΟ ΤΡΙΑΔΙΟΥ</t>
  </si>
  <si>
    <t>mail@1nip-triad.thess.sch.gr</t>
  </si>
  <si>
    <t>ΑΛΕΞΑΝΔΡΟΥ ΣΒΩΛΟΥ 2</t>
  </si>
  <si>
    <t>64ο ΝΗΠΙΑΓΩΓΕΙΟ ΘΕΣΣΑΛΟΝΙΚΗΣ</t>
  </si>
  <si>
    <t>mail@64nip-thess.thess.sch.gr</t>
  </si>
  <si>
    <t>90ο ΝΗΠΙΑΓΩΓΕΙΟ ΘΕΣΣΑΛΟΝΙΚΗΣ</t>
  </si>
  <si>
    <t>mail@90nip-thess.thess.sch.gr</t>
  </si>
  <si>
    <t>Ν. ΚΑΠΑΤΟΥ  8</t>
  </si>
  <si>
    <t>6ο ΝΗΠΙΑΓΩΓΕΙΟ ΚΑΛΑΜΑΡΙΑΣ</t>
  </si>
  <si>
    <t>mail@6nip-kalam.thess.sch.gr</t>
  </si>
  <si>
    <t>ΦΙΛΙΠΠΟΥ 2</t>
  </si>
  <si>
    <t>95ο ΝΗΠΙΑΓΩΓΕΙΟ ΘΕΣΣΑΛΟΝΙΚΗΣ</t>
  </si>
  <si>
    <t>mail@95nip-thess.thess.sch.gr</t>
  </si>
  <si>
    <t>ΜΑΖΑΡΑΚΗ 1</t>
  </si>
  <si>
    <t>2ο ΔΗΜΟΤΙΚΟ ΣΧΟΛΕΙΟ ΘΕΡΜΗΣ</t>
  </si>
  <si>
    <t>mail@2dim-therm.thess.sch.gr</t>
  </si>
  <si>
    <t>ΜΑΝΔΡΙΤΣΑ 2</t>
  </si>
  <si>
    <t>3ο ΔΗΜΟΤΙΚΟ ΣΧΟΛΕΙΟ ΕΠΑΝΟΜΗΣ</t>
  </si>
  <si>
    <t>mail@3dim-epanom.thess.sch.gr</t>
  </si>
  <si>
    <t>25ης  ΜΑΡΤΙΟΥ 70</t>
  </si>
  <si>
    <t>2ο ΝΗΠΙΑΓΩΓΕΙΟ ΑΣΒΕΣΤΟΧΩΡΙΟΥ</t>
  </si>
  <si>
    <t>mail@2nip-asvest.thess.sch.gr</t>
  </si>
  <si>
    <t>ΔΗΜΟΚΡΑΤΙΑΣ 11</t>
  </si>
  <si>
    <t>17ο ΝΗΠΙΑΓΩΓΕΙΟ ΚΑΛΑΜΑΡΙΑΣ</t>
  </si>
  <si>
    <t>mail@17nip-kalam.thess.sch.gr</t>
  </si>
  <si>
    <t>ΘΟΥΚΥΔΙΔΟΥ &amp; ΕΜΜΑΝΟΥΗΛ ΠΑΠΑ</t>
  </si>
  <si>
    <t>10ο ΝΗΠΙΑΓΩΓΕΙΟ ΚΑΛΑΜΑΡΙΑΣ</t>
  </si>
  <si>
    <t>mail@10nip-kalam.thess.sch.gr</t>
  </si>
  <si>
    <t>ΙΩΑΚΕΙΜ Γ 46</t>
  </si>
  <si>
    <t>8ο ΔΗΜΟΤΙΚΟ ΣΧΟΛΕΙΟ ΘΕΣΣΑΛΟΝΙΚΗΣ</t>
  </si>
  <si>
    <t>mail@8dim-thess.thess.sch.gr</t>
  </si>
  <si>
    <t>Ορέστου 30</t>
  </si>
  <si>
    <t>4ο ΝΗΠΙΑΓΩΓΕΙΟ ΚΑΛΑΜΑΡΙΑΣ</t>
  </si>
  <si>
    <t>mail@4nip-kalam.thess.sch.gr</t>
  </si>
  <si>
    <t>ΒΟΖΙΚΗ-ΧΡΙΣΤΟΔΟΥΛΙΔΗ-ΚΟΛΛΑΡΟΥ</t>
  </si>
  <si>
    <t>26ο ΝΗΠΙΑΓΩΓΕΙΟ ΚΑΛΑΜΑΡΙΑΣ</t>
  </si>
  <si>
    <t>mail@26nip-kalam.thess.sch.gr</t>
  </si>
  <si>
    <t>ΚΟΛΟΤΟΥΡΟΥ 20</t>
  </si>
  <si>
    <t>ΕΞΟΧΗΣ</t>
  </si>
  <si>
    <t>ΝΗΠΙΑΓΩΓΕΙΟ ΕΞΟΧΗΣ (ΠΥΛΑΙΑΣ-ΧΟΡΤΙΑΤΗ)</t>
  </si>
  <si>
    <t>mail@nip-exoch.thess.sch.gr</t>
  </si>
  <si>
    <t>ΙΟΥΛΙΑΝΟΥ 2</t>
  </si>
  <si>
    <t>3ο ΝΗΠΙΑΓΩΓΕΙΟ ΚΑΛΑΜΑΡΙΑΣ</t>
  </si>
  <si>
    <t>mail@3nip-kalam.thess.sch.gr</t>
  </si>
  <si>
    <t>ΦΙΛΙΚΗΣ ΕΤΑΙΡΕΙΑΣ 45</t>
  </si>
  <si>
    <t>19ο ΔΗΜΟΤΙΚΟ ΣΧΟΛΕΙΟ ΘΕΣΣΑΛΟΝΙΚΗΣ</t>
  </si>
  <si>
    <t>mail@19dim-thess.thess.sch.gr</t>
  </si>
  <si>
    <t>31ο ΔΗΜΟΤΙΚΟ ΣΧΟΛΕΙΟ ΘΕΣΣΑΛΟΝΙΚΗΣ</t>
  </si>
  <si>
    <t>mail@31dim-thess.thess.sch.gr</t>
  </si>
  <si>
    <t>4ο ΝΗΠΙΑΓΩΓΕΙΟ ΘΕΡΜΗΣ</t>
  </si>
  <si>
    <t>mail@4nip-therm.thess.sch.gr</t>
  </si>
  <si>
    <t>ΜΑΝΔΡΙΤΣΑ 4</t>
  </si>
  <si>
    <t>ΔΗΜΟΤΙΚΟ ΣΧΟΛΕΙΟ ΕΞΟΧΗΣ (ΠΥΛΑΙΑΣ-ΧΟΡΤΙΑΤΗ)</t>
  </si>
  <si>
    <t>dimexoxi@sch.gr</t>
  </si>
  <si>
    <t>ΑΓΙΟΥ ΣΤΕΦΑΝΟΥ 24</t>
  </si>
  <si>
    <t>10ο ΕΙΔΙΚΟ ΔΗΜΟΤΙΚΟ ΣΧΟΛΕΙΟ ΒΑΡΗΚΟΩΝ ΘΕΣΣΑΛΟΝΙΚΗΣ</t>
  </si>
  <si>
    <t>mail@10dim-eid-thess.thess.sch.gr</t>
  </si>
  <si>
    <t>ΕΙΔΙΚΟ ΔΗΜΟΤΙΚΟ ΣΧΟΛΕΙΟ ΤΥΦΛΩΝ ΘΕΣΣΑΛΟΝΙΚΗΣ</t>
  </si>
  <si>
    <t>mail@dim-eid-thess1.thess.sch.gr</t>
  </si>
  <si>
    <t>ΒΑΣ. ΟΛΓΑΣ 32</t>
  </si>
  <si>
    <t>45ο ΔΗΜΟΤΙΚΟ ΣΧΟΛΕΙΟ ΘΕΣΣΑΛΟΝΙΚΗΣ</t>
  </si>
  <si>
    <t>mail@45dim-thess.thess.sch.gr</t>
  </si>
  <si>
    <t>ΝΕΑΣ ΜΗΧΑΝΙΩΝΑΣ</t>
  </si>
  <si>
    <t>2ο ΝΗΠΙΑΓΩΓΕΙΟ ΝΕΑΣ ΜΗΧΑΝΙΩΝΑΣ</t>
  </si>
  <si>
    <t>mail@2nip-n-michan.thess.sch.gr</t>
  </si>
  <si>
    <t>ΑΘ. ΔΙΑΚΟΥ 9</t>
  </si>
  <si>
    <t>18ο ΔΗΜΟΤΙΚΟ ΣΧΟΛΕΙΟ ΚΑΛΑΜΑΡΙΑΣ</t>
  </si>
  <si>
    <t>mail@18dim-kalam.thess.sch.gr</t>
  </si>
  <si>
    <t>ΣΤΡΑΤΗΓΟΥ ΣΑΡΑΦΗ 32</t>
  </si>
  <si>
    <t>ΔΗΜΟΤΙΚΟ ΣΧΟΛΕΙΟ ΧΟΡΤΙΑΤΗ</t>
  </si>
  <si>
    <t>mail@dim-chort.thess.sch.gr</t>
  </si>
  <si>
    <t>ΠΡΟΕΚΤΑΣΗ ΑΓΙΟΥ ΒΑΣΙΛΕΙΟΥ</t>
  </si>
  <si>
    <t>ΦΙΛΥΡΟΥ</t>
  </si>
  <si>
    <t>2ο ΝΗΠΙΑΓΩΓΕΙΟ ΦΙΛΥΡΟΥ</t>
  </si>
  <si>
    <t>mail@2nip-filyr.thess.sch.gr</t>
  </si>
  <si>
    <t>ΜΕΓΑΛΟΥ ΑΛΕΞΑΝΔΡΟΥ 15</t>
  </si>
  <si>
    <t>ΠΕΙΡΑΜΑΤΙΚΟ ΝΗΠΙΑΓΩΓΕΙΟ ΠΑΝΕΠΙΣΤΗΜΙΟΥ (ΜΗ ΕΝΤΑΓΜΕΝΟ ΣΤΟ ΠΑΝΕΠΙΣΤΗΜΙΟ) ΘΕΣΣΑΛΟΝΙΚΗΣ</t>
  </si>
  <si>
    <t>mail@nip-peir.thess.sch.gr</t>
  </si>
  <si>
    <t>ΔΕΛΜΟΥΖΟΥ 1</t>
  </si>
  <si>
    <t>69ο ΔΗΜΟΤΙΚΟ ΣΧΟΛΕΙΟ ΘΕΣΣΑΛΟΝΙΚΗΣ</t>
  </si>
  <si>
    <t>mail@69dim-thess.thess.sch.gr</t>
  </si>
  <si>
    <t>92ο ΔΗΜΟΤΙΚΟ ΣΧΟΛΕΙΟ ΘΕΣΣΑΛΟΝΙΚΗΣ</t>
  </si>
  <si>
    <t>mail@92dim-thess.thess.sch.gr</t>
  </si>
  <si>
    <t>ΠΑΠΑΦΗ 229</t>
  </si>
  <si>
    <t>85ο ΝΗΠΙΑΓΩΓΕΙΟ ΘΕΣΣΑΛΟΝΙΚΗΣ</t>
  </si>
  <si>
    <t>mail@85nip-thess.thess.sch.gr</t>
  </si>
  <si>
    <t>92ο ΝΗΠΙΑΓΩΓΕΙΟ ΘΕΣΣΑΛΟΝΙΚΗΣ</t>
  </si>
  <si>
    <t>mail@92nip-thess.thess.sch.gr</t>
  </si>
  <si>
    <t>ΤΥΔΕΩΣ 26</t>
  </si>
  <si>
    <t>3ο ΝΗΠΙΑΓΩΓΕΙΟ ΝΕΑΣ ΜΗΧΑΝΙΩΝΑΣ</t>
  </si>
  <si>
    <t>mail@3nip-n-michan.thess.sch.gr</t>
  </si>
  <si>
    <t>ΠΑΡΟΔΟΣ Κ. ΒΑΡΝΑΛΗ</t>
  </si>
  <si>
    <t>97ο ΝΗΠΙΑΓΩΓΕΙΟ ΘΕΣΣΑΛΟΝΙΚΗΣ</t>
  </si>
  <si>
    <t>mail@97nip-thess.thess.sch.gr</t>
  </si>
  <si>
    <t>103ο ΝΗΠΙΑΓΩΓΕΙΟ ΘΕΣΣΑΛΟΝΙΚΗΣ</t>
  </si>
  <si>
    <t>mail@103nip-thess.thess.sch.gr</t>
  </si>
  <si>
    <t>ΠΕΤΡΟΥ ΤΡΑΓΙΑΝΟΥ 8</t>
  </si>
  <si>
    <t>5ο ΔΗΜΟΤΙΚΟ ΣΧΟΛΕΙΟ ΚΑΛΑΜΑΡΙΑΣ</t>
  </si>
  <si>
    <t>mail@5dim-kalam.thess.sch.gr</t>
  </si>
  <si>
    <t>112ο ΝΗΠΙΑΓΩΓΕΙΟ ΘΕΣΣΑΛΟΝΙΚΗΣ</t>
  </si>
  <si>
    <t>mail@112nip-thess.thess.sch.gr</t>
  </si>
  <si>
    <t>ΤΡΙΑΝΤΑΦΥΛΛΟΠΟΥΛΟΥ 18</t>
  </si>
  <si>
    <t>113ο ΝΗΠΙΑΓΩΓΕΙΟ ΘΕΣΣΑΛΟΝΙΚΗΣ</t>
  </si>
  <si>
    <t>mail@113nip-thess.thess.sch.gr</t>
  </si>
  <si>
    <t>2ο ΝΗΠΙΑΓΩΓΕΙΟ ΤΡΙΑΔΙΟΥ</t>
  </si>
  <si>
    <t>mail@2nip-triad.thess.sch.gr</t>
  </si>
  <si>
    <t>350 Π.Κ.Β. ΑΕΡΟΠΟΡΙΚΗ ΒΑΣΗ ΣΕΔΕΣ</t>
  </si>
  <si>
    <t>7ο ΝΗΠΙΑΓΩΓΕΙΟ ΚΑΛΑΜΑΡΙΑΣ</t>
  </si>
  <si>
    <t>mail@7nip-kalam.thess.sch.gr</t>
  </si>
  <si>
    <t>ΕΙΔΙΚΟ ΔΗΜΟΤΙΚΟ ΣΧΟΛΕΙΟ ΘΕΣΣΑΛΟΝΙΚΗΣ - ΓΙΑ ΠΑΙΔΙΑ ΜΕ ΑΥΤΙΣΜΟ</t>
  </si>
  <si>
    <t>mail@dim-eaf-thess.thess.sch.gr</t>
  </si>
  <si>
    <t>17ης ΝΟΕΜΒΡΙΟΥ 83</t>
  </si>
  <si>
    <t>Δ</t>
  </si>
  <si>
    <t>ΠΕΡΙΣΤΕΡΑΣ</t>
  </si>
  <si>
    <t>ΝΗΠΙΑΓΩΓΕΙΟ ΠΕΡΙΣΤΕΡΑΣ (ΘΕΡΜΗΣ)</t>
  </si>
  <si>
    <t>mail@1nip-perist.thess.sch.gr</t>
  </si>
  <si>
    <t>ΠΕΡΙΣΤΕΡΑ 121</t>
  </si>
  <si>
    <t>4ο ΝΗΠΙΑΓΩΓΕΙΟ ΝΕΑΣ ΜΗΧΑΝΙΩΝΑΣ</t>
  </si>
  <si>
    <t>mail@4nip-n-michan.thess.sch.gr</t>
  </si>
  <si>
    <t>ΑΡΤΑΚΗΣ-ΜΑΝΟΥ ΛΟΙΖΟΥ, ΟΙΚΙΣΜΟΣ ΧΑΒΑΗ</t>
  </si>
  <si>
    <t>2ο ΔΗΜΟΤΙΚΟ ΣΧΟΛΕΙΟ ΠΥΛΑΙΑΣ</t>
  </si>
  <si>
    <t>mail@2dim-pylaias.thess.sch.gr</t>
  </si>
  <si>
    <t>Μ. ΑΛΕΞΑΝΔΡΟΥ 18</t>
  </si>
  <si>
    <t>2ο ΝΗΠΙΑΓΩΓΕΙΟ ΚΑΛΑΜΑΡΙΑΣ</t>
  </si>
  <si>
    <t>mail@2nip-kalam.thess.sch.gr</t>
  </si>
  <si>
    <t>Κ. ΚΑΡΑΜΑΝΛΗ 7B</t>
  </si>
  <si>
    <t>ΝΕΩΝ ΕΠΙΒΑΤΩΝ</t>
  </si>
  <si>
    <t>1ο ΝΗΠΙΑΓΩΓΕΙΟ ΝΕΩΝ ΕΠΙΒΑΤΩΝ</t>
  </si>
  <si>
    <t>mail@1nip-n-epivat.thess.sch.gr</t>
  </si>
  <si>
    <t>ΑΝΑΤΟΛΙΚΗΣ ΘΡΑΚΗΣ 8</t>
  </si>
  <si>
    <t>9ο ΕΙΔΙΚΟ ΔΗΜΟΤΙΚΟ ΣΧΟΛΕΙΟ ΘΕΣΣΑΛΟΝΙΚΗΣ - ΝΟΣΟΚΟΜΕΙΑΚΟ</t>
  </si>
  <si>
    <t>mail@9dim-eid-thess.thess.sch.gr</t>
  </si>
  <si>
    <t>ΚΩΝΣΤΑΝΤΙΝΟΥΠΟΛΕΩΣ 49</t>
  </si>
  <si>
    <t>ΑΓΙΟΥ ΑΝΤΩΝΙΟΥ</t>
  </si>
  <si>
    <t>ΝΗΠΙΑΓΩΓΕΙΟ ΑΓΙΟΥ ΑΝΤΩΝΙΟΥ</t>
  </si>
  <si>
    <t>mail@1nip-ag-anton.thess.sch.gr</t>
  </si>
  <si>
    <t>ΑΓΙΟΣ ΑΝΤΩΝΙΟΣ</t>
  </si>
  <si>
    <t>1ο ΔΗΜΟΤΙΚΟ ΣΧΟΛΕΙΟ ΝΕΑΣ ΡΑΙΔΕΣΤΟΥ</t>
  </si>
  <si>
    <t>mail@dim-n-radaist.thess.sch.gr</t>
  </si>
  <si>
    <t>ΤΕΡΜΑ ΘΡΑΚΗΣ</t>
  </si>
  <si>
    <t>11ο ΝΗΠΙΑΓΩΓΕΙΟ ΚΑΛΑΜΑΡΙΑΣ</t>
  </si>
  <si>
    <t>mail@11nip-kalam.thess.sch.gr</t>
  </si>
  <si>
    <t>ΑΔΡΙΑΝΟΥΠΟΛΕΩΣ 4 &amp; ΠΑΠΑΚΥΡΙΤΣΗ</t>
  </si>
  <si>
    <t>2ο ΝΗΠΙΑΓΩΓΕΙΟ ΝΕΩΝ ΕΠΙΒΑΤΩΝ</t>
  </si>
  <si>
    <t>mail@2nip-n-epivat.thess.sch.gr</t>
  </si>
  <si>
    <t>ΤΕΡΡΗ ΙΩΑΝΝΙΔΗ 13</t>
  </si>
  <si>
    <t>18ο ΝΗΠΙΑΓΩΓΕΙΟ ΚΑΛΑΜΑΡΙΑΣ</t>
  </si>
  <si>
    <t>mail@18nip-kalam.thess.sch.gr</t>
  </si>
  <si>
    <t>ΙΩΝΙΑΣ 14</t>
  </si>
  <si>
    <t>72ο ΔΗΜΟΤΙΚΟ ΣΧΟΛΕΙΟ ΘΕΣΣΑΛΟΝΙΚΗΣ</t>
  </si>
  <si>
    <t>mail@72dim-thess.thess.sch.gr</t>
  </si>
  <si>
    <t>3ο ΝΗΠΙΑΓΩΓΕΙΟ ΠΕΡΑΙΑΣ</t>
  </si>
  <si>
    <t>mail@3nip-peraias.thess.sch.gr</t>
  </si>
  <si>
    <t>ΑΜΠΕΛΟΚΗΠΩΝ 57</t>
  </si>
  <si>
    <t>4ο ΕΙΔΙΚΟ ΝΗΠΙΑΓΩΓΕΙΟ ΘΕΣΣΑΛΟΝΙΚΗΣ</t>
  </si>
  <si>
    <t>mail@4nip-eid-thess.thess.sch.gr</t>
  </si>
  <si>
    <t>ΤΖΩΝ ΚΕΝΝΕΝΤΥ 62</t>
  </si>
  <si>
    <t>1ο ΝΗΠΙΑΓΩΓΕΙΟ ΧΟΡΤΙΑΤΗ</t>
  </si>
  <si>
    <t>ritsabougia@gmail.com</t>
  </si>
  <si>
    <t>ΜΑΡΤΥΡΩΝ 2ας ΣΕΠΤΕΜΒΡΙΟΥ 52</t>
  </si>
  <si>
    <t>5ο ΝΗΠΙΑΓΩΓΕΙΟ ΠΕΡΑΙΑΣ</t>
  </si>
  <si>
    <t>mail@5nip-peraias.thess.sch.gr</t>
  </si>
  <si>
    <t>ΠΡΟΜΗΘΕΩΣ 21</t>
  </si>
  <si>
    <t>ΜΕΣΗΜΕΡΙΟΥ</t>
  </si>
  <si>
    <t>ΝΗΠΙΑΓΩΓΕΙΟ ΜΕΣΗΜΕΡΙΟΥ ΘΕΡΜΑΪΚΟΥ</t>
  </si>
  <si>
    <t>mail@nip-mesim.thess.sch.gr</t>
  </si>
  <si>
    <t>ΜΕΣΗΜΕΡΙ</t>
  </si>
  <si>
    <t>43ο ΔΗΜΟΤΙΚΟ ΣΧΟΛΕΙΟ ΘΕΣΣΑΛΟΝΙΚΗΣ</t>
  </si>
  <si>
    <t>mail@43dim-thess.thess.sch.gr</t>
  </si>
  <si>
    <t>ΠΡΟΞ. ΚΟΡΟΜΗΛΑ 25</t>
  </si>
  <si>
    <t>1ο ΝΗΠΙΑΓΩΓΕΙΟ ΦΙΛΥΡΟΥ</t>
  </si>
  <si>
    <t>mail@nip-filyr.thess.sch.gr</t>
  </si>
  <si>
    <t>ΑΘ. ΔΙΑΚΟΥ 16</t>
  </si>
  <si>
    <t>3ο ΝΗΠΙΑΓΩΓΕΙΟ ΦΙΛΥΡΟΥ</t>
  </si>
  <si>
    <t>mail@3nip-filyr.thess.sch.gr</t>
  </si>
  <si>
    <t>ΑΔΑΜΑΝΤΙΟΥ ΚΟΡΑΗ 24</t>
  </si>
  <si>
    <t>3ο ΝΗΠΙΑΓΩΓΕΙΟ ΤΡΙΑΔΙΟΥ</t>
  </si>
  <si>
    <t>mail@3nip-triad.thess.sch.gr</t>
  </si>
  <si>
    <t>ΜΑΡΙΝΟΥ ΑΝΤΥΠΑ 37</t>
  </si>
  <si>
    <t>1ο ΝΗΠΙΑΓΩΓΕΙΟ ΤΑΓΑΡΑΔΩΝ</t>
  </si>
  <si>
    <t>mail@nip-tagar.thess.sch.gr</t>
  </si>
  <si>
    <t>25ης ΜΑΡΤΙΟΥ 30</t>
  </si>
  <si>
    <t>2ο ΝΗΠΙΑΓΩΓΕΙΟ ΤΡΙΑΝΔΡΙΑΣ ΘΕΣΣΑΛΟΝΙΚΗΣ</t>
  </si>
  <si>
    <t>mail@2nip-triandr.thess.sch.gr</t>
  </si>
  <si>
    <t>ΗΠΕΙΡΟΥ 2</t>
  </si>
  <si>
    <t>7ο ΝΗΠΙΑΓΩΓΕΙΟ ΠΕΡΑΙΑΣ</t>
  </si>
  <si>
    <t>mail@7nip-peraias.thess.sch.gr</t>
  </si>
  <si>
    <t>ΑΙΣΧΥΛΟΥ 4</t>
  </si>
  <si>
    <t>81ο ΔΗΜΟΤΙΚΟ ΣΧΟΛΕΙΟ ΘΕΣΣΑΛΟΝΙΚΗΣ</t>
  </si>
  <si>
    <t>mail@81dim-thess.thess.sch.gr</t>
  </si>
  <si>
    <t>ΔΕΛΦΩΝ 131</t>
  </si>
  <si>
    <t>6ο ΕΙΔΙΚΟ ΔΗΜΟΤΙΚΟ ΣΧΟΛΕΙΟ ΘΕΣΣΑΛΟΝΙΚΗΣ</t>
  </si>
  <si>
    <t>mail@6dim-eid-thess.thess.sch.gr</t>
  </si>
  <si>
    <t>6ο ΝΗΠΙΑΓΩΓΕΙΟ ΠΕΡΑΙΑΣ</t>
  </si>
  <si>
    <t>mail@6nip-peraias.thess.sch.gr</t>
  </si>
  <si>
    <t>ΠΛΑΤΩΝΟΣ 7</t>
  </si>
  <si>
    <t>4ο ΝΗΠΙΑΓΩΓΕΙΟ ΤΡΙΑΝΔΡΙΑΣ ΘΕΣΣΑΛΟΝΙΚΗΣ</t>
  </si>
  <si>
    <t>mail@4nip-triandr.thess.sch.gr</t>
  </si>
  <si>
    <t>ΕΛΕΥΘΕΡΙΑΣ 17</t>
  </si>
  <si>
    <t>ΕΙΔΙΚΟ ΝΗΠΙΑΓΩΓΕΙΟ ΘΕΣΣΑΛΟΝΙΚΗΣ ΓΙΑ ΠΑΙΔΙΑ ΜΕ ΑΥΤΙΣΜΟ</t>
  </si>
  <si>
    <t>mail@nip-eaf-thess.thess.sch.gr</t>
  </si>
  <si>
    <t>5ο ΝΗΠΙΑΓΩΓΕΙΟ ΤΡΙΑΝΔΡΙΑΣ ΘΕΣΣΑΛΟΝΙΚΗΣ</t>
  </si>
  <si>
    <t>mail@5nip-triandr.thess.sch.gr</t>
  </si>
  <si>
    <t>ΖΑΪΜΗ 16</t>
  </si>
  <si>
    <t>3ο ΝΗΠΙΑΓΩΓΕΙΟ ΠΥΛΑΙΑΣ</t>
  </si>
  <si>
    <t>mail@3nip-pylaias.thess.sch.gr</t>
  </si>
  <si>
    <t>ΔΩΔΕΚΑΝΗΣΟΥ 6</t>
  </si>
  <si>
    <t>ΝΕΟΥ ΡΥΣΙΟΥ</t>
  </si>
  <si>
    <t>1ο ΝΗΠΙΑΓΩΓΕΙΟ ΝΕΟΥ ΡΥΣΙΟΥ</t>
  </si>
  <si>
    <t>mail@nip-n-rysiou.thess.sch.gr</t>
  </si>
  <si>
    <t>ΚΑΡΑΒΑΓΓΕΛΗ 34</t>
  </si>
  <si>
    <t>1ο ΔΗΜΟΤΙΚΟ ΣΧΟΛΕΙΟ ΘΕΣΣΑΛΟΝΙΚΗΣ</t>
  </si>
  <si>
    <t>mail@1dim-thess.thess.sch.gr</t>
  </si>
  <si>
    <t>ΠΛΑΤΕΊΑ ΑΓΊΟΥ ΕΛΕΥΘΕΡΊΟΥ 1-ΜΗΤΡΟΠΟΛΙΤΗ ΜΟΣΧΟΝΗΣΙΩΝ 2</t>
  </si>
  <si>
    <t>1ο ΔΗΜΟΤΙΚΟ ΣΧΟΛΕΙΟ ΠΑΝΟΡΑΜΑΤΟΣ</t>
  </si>
  <si>
    <t>mail@1dim-panor.thess.sch.gr</t>
  </si>
  <si>
    <t>Χ. ΓΑΛΑΝΟΥ 10</t>
  </si>
  <si>
    <t>ΤΡΙΛΟΦΟΥ</t>
  </si>
  <si>
    <t>1ο ΝΗΠΙΑΓΩΓΕΙΟ ΤΡΙΛΟΦΟΥ</t>
  </si>
  <si>
    <t>mail@nip-trilof.thess.sch.gr</t>
  </si>
  <si>
    <t>ΤΡΙΛΟΦΟΣ</t>
  </si>
  <si>
    <t>3ο ΕΙΔΙΚΟ ΝΗΠΙΑΓΩΓΕΙΟ ΠΑΝΟΡΑΜΑΤΟΣ - ΕΙΔΙΚΟ ΝΗΠ. ΚΩΦΩΝ ΒΑΡΗΚ</t>
  </si>
  <si>
    <t>mail@3nip-eid-ekv-panor.thess.sch.gr</t>
  </si>
  <si>
    <t>ΚΟΜΝΗΝΩΝ 86</t>
  </si>
  <si>
    <t>ΠΛΑΓΙΑΡΙΟΥ</t>
  </si>
  <si>
    <t>1ο ΝΗΠΙΑΓΩΓΕΙΟ ΠΛΑΓΙΑΡΙΟΥ</t>
  </si>
  <si>
    <t>mail@nip-plagiar.thess.sch.gr</t>
  </si>
  <si>
    <t>Κολοκοτρώνη 28</t>
  </si>
  <si>
    <t>2ο ΕΙΔΙΚΟ ΝΗΠΙΑΓΩΓΕΙΟ ΘΕΣΣΑΛΟΝΙΚΗΣ</t>
  </si>
  <si>
    <t>mail@2nip-eid-thess.thess.sch.gr</t>
  </si>
  <si>
    <t>ΚΑΡΑΪΣΚΑΚΗ 1</t>
  </si>
  <si>
    <t>1ο ΕΙΔΙΚΟ ΝΗΠΙΑΓΩΓΕΙΟ ΕΛΕΠΑΠ</t>
  </si>
  <si>
    <t>mail@1nip-eid-elepap.thess.sch.gr</t>
  </si>
  <si>
    <t>ΕΛΑΙΩΝΩΝ 22</t>
  </si>
  <si>
    <t>5ο ΕΙΔΙΚΟ ΝΗΠΙΑΓΩΓΕΙΟ ΘΕΣΣΑΛΟΝΙΚΗΣ-ΝΟΣΟΚΟΜΕΙΑΚΟ</t>
  </si>
  <si>
    <t>mail@5nip-eid-thess.thess.sch.gr</t>
  </si>
  <si>
    <t>6ο ΕΙΔΙΚΟ ΝΗΠΙΑΓΩΓΕΙΟ ΘΕΣΣΑΛΟΝΙΚΗΣ - ΕΙΔΙΚΟ ΝΗΠΙΑΓΩΓΕΙΟ ΤΥΦΛΩΝ</t>
  </si>
  <si>
    <t>mail@6nip-et-thess.thess.sch.gr</t>
  </si>
  <si>
    <t>Β ΟΛΓΑΣ 32</t>
  </si>
  <si>
    <t>ΠΕΙΡΑΜΑΤΙΚΟ ΔΗΜΟΤΙΚΟ ΣΧΟΛΕΙΟ ΔΙΑΠΟΛΙΤΙΣΜΙΚΗΣ ΕΚΠΑΙΔΕΥΣΗΣ ΝΕΩΝ ΕΠΙΒΑΤΩΝ - ΑΡΧΙΓΕΝΕΙΟ</t>
  </si>
  <si>
    <t>mail@dim-n-epivat.thess.sch.gr</t>
  </si>
  <si>
    <t>ΣΧΟΛΕΙΩΝ 1</t>
  </si>
  <si>
    <t>10ο ΕΙΔΙΚΟ ΝΗΠΙΑΓΩΓΕΙΟ ΘΕΣΣΑΛΟΝΙΚΗΣ</t>
  </si>
  <si>
    <t>mail@nip-eid-thess.thess.sch.gr</t>
  </si>
  <si>
    <t>9ο ΕΙΔΙΚΟ ΝΗΠΙΑΓΩΓΕΙΟ ΘΕΣΣΑΛΟΝΙΚΗ - ΕΙΔΙΚΟ ΝΗΠΙΑΓΩΓΕΙΟ ΘΕΣΣΑΛΟΝΙΚΗΣ</t>
  </si>
  <si>
    <t>8ο ΕΙΔΙΚΟ ΔΗΜΟΤΙΚΟ ΣΧΟΛΕΙΟ ΘΕΣΣΑΛΟΝΙΚΗΣ</t>
  </si>
  <si>
    <t>16ο ΝΗΠΙΑΓΩΓΕΙΟ ΚΑΛΑΜΑΡΙΑΣ</t>
  </si>
  <si>
    <t>mail@16nip-kalam.thess.sch.gr</t>
  </si>
  <si>
    <t>ΓΚΟΝΗ-ΚΥΔΩΝΙΩΝ 34</t>
  </si>
  <si>
    <t>87ο ΔΗΜΟΤΙΚΟ ΣΧΟΛΕΙΟ ΘΕΣΣΑΛΟΝΙΚΗΣ</t>
  </si>
  <si>
    <t>mail@87dim-thess.thess.sch.gr</t>
  </si>
  <si>
    <t>25ης Μαρτίου 1</t>
  </si>
  <si>
    <t>12ο ΔΗΜΟΤΙΚΟ ΣΧΟΛΕΙΟ ΕΙΔΙΚΗΣ ΑΓΩΓΗΣ ΘΕΣΣΑΛΟΝΙΚΗΣ (Π.Γ.Ν.Θ.ΑΧΕΠΑ) - ΝΟΣΟΚΟΜΕΙΑΚΟ</t>
  </si>
  <si>
    <t>mail@12dim-eid-thess.thess.sch.gr</t>
  </si>
  <si>
    <t>ΣΤΙΛΠ. ΚΥΡΙΑΚΙΔΗ 1 (Π.Γ.Ν.Θ. ΑΧΕΠΑ)</t>
  </si>
  <si>
    <t>21ο ΔΗΜΟΤΙΚΟ ΣΧΟΛΕΙΟ ΘΕΣΣΑΛΟΝΙΚΗΣ</t>
  </si>
  <si>
    <t>mail@21dim-thess.thess.sch.gr</t>
  </si>
  <si>
    <t>ΤΣΕΛΙΟΥ ΚΑΙ ΤΣΙΑΠΑΝΟΥ</t>
  </si>
  <si>
    <t>53ο ΔΗΜΟΤΙΚΟ ΣΧΟΛΕΙΟ ΘΕΣΣΑΛΟΝΙΚΗΣ</t>
  </si>
  <si>
    <t>mail@53dim-thess.thess.sch.gr</t>
  </si>
  <si>
    <t>ΣΤΕΦ.(ΦΙΛ.) ΔΡΑΓΟΥΜΗ 7-9</t>
  </si>
  <si>
    <t>34ο ΔΗΜΟΤΙΚΟ ΣΧΟΛΕΙΟ ΘΕΣΣΑΛΟΝΙΚΗΣ</t>
  </si>
  <si>
    <t>mail@34dim-thess.thess.sch.gr</t>
  </si>
  <si>
    <t>ΑΡΡΙΑΝΟΥ   3</t>
  </si>
  <si>
    <t>1ο ΕΙΔΙΚΟ ΔΗΜΟΤΙΚΟ ΣΧΟΛΕΙΟ ΘΕΣΣΑΛΟΝΙΚΗΣ</t>
  </si>
  <si>
    <t>mail@1dim-eid-thess.thess.sch.gr</t>
  </si>
  <si>
    <t>ΚΑΡΑΪΣΚΑΚΗ 1Α</t>
  </si>
  <si>
    <t>41ο ΔΗΜΟΤΙΚΟ ΣΧΟΛΕΙΟ ΘΕΣΣΑΛΟΝΙΚΗΣ</t>
  </si>
  <si>
    <t>mail@41dim-thess.thess.sch.gr</t>
  </si>
  <si>
    <t>13ο ΝΗΠΙΑΓΩΓΕΙΟ ΚΑΛΑΜΑΡΙΑΣ</t>
  </si>
  <si>
    <t>mail@13nip-kalam.thess.sch.gr</t>
  </si>
  <si>
    <t>ΑΝΑΤΟΛΙΚΗΣ ΘΡΑΚΗΣ 10</t>
  </si>
  <si>
    <t>3ο ΝΗΠΙΑΓΩΓΕΙΟ ΘΕΣΣΑΛΟΝΙΚΗΣ</t>
  </si>
  <si>
    <t>mail@3nip-thess.thess.sch.gr</t>
  </si>
  <si>
    <t>Γ. ΠΑΡΑΣΧΟΥ 2A</t>
  </si>
  <si>
    <t>4ο ΕΙΔΙΚΟ ΔΗΜΟΤΙΚΟ ΣΧΟΛΕΙΟ ΘΕΣΣΑΛΟΝΙΚΗΣ</t>
  </si>
  <si>
    <t>mail@4dim-eid-thess.thess.sch.gr</t>
  </si>
  <si>
    <t>K. ΜΑΖΑΡΑΚΗ 1</t>
  </si>
  <si>
    <t>1ο ΝΗΠΙΑΓΩΓΕΙΟ ΚΑΛΑΜΑΡΙΑΣ</t>
  </si>
  <si>
    <t>mail@1nip-kalam.thess.sch.gr</t>
  </si>
  <si>
    <t>Ι. ΠΑΠΑΝΙΚΟΛΑ 3</t>
  </si>
  <si>
    <t>10ο ΝΗΠΙΑΓΩΓΕΙΟ ΘΕΣΣΑΛΟΝΙΚΗΣ</t>
  </si>
  <si>
    <t>mail@10nip-thess.thess.sch.gr</t>
  </si>
  <si>
    <t>ΧΕΙΜΑΡΑΣ 26</t>
  </si>
  <si>
    <t>33ο ΝΗΠΙΑΓΩΓΕΙΟ ΘΕΣΣΑΛΟΝΙΚΗΣ</t>
  </si>
  <si>
    <t>mail@33nip-thess.thess.sch.gr</t>
  </si>
  <si>
    <t>ΔΙΣΤΟΜΟΥ 17</t>
  </si>
  <si>
    <t>50ο ΔΗΜΟΤΙΚΟ ΣΧΟΛΕΙΟ ΘΕΣΣΑΛΟΝΙΚΗΣ</t>
  </si>
  <si>
    <t>mail@50dim-thess.thess.sch.gr</t>
  </si>
  <si>
    <t>25ο ΝΗΠΙΑΓΩΓΕΙΟ ΘΕΣΣΑΛΟΝΙΚΗΣ</t>
  </si>
  <si>
    <t>mail@25nip-thess.thess.sch.gr</t>
  </si>
  <si>
    <t>ΑΝΑΞΙΜΑΝΔΡΟΥ 77</t>
  </si>
  <si>
    <t>64ο ΔΗΜΟΤΙΚΟ ΣΧΟΛΕΙΟ ΘΕΣΣΑΛΟΝΙΚΗΣ</t>
  </si>
  <si>
    <t>mail@64dim-thess.thess.sch.gr</t>
  </si>
  <si>
    <t>1ο ΔΗΜΟΤΙΚΟ ΣΧΟΛΕΙΟ ΤΡΙΑΝΔΡΙΑΣ ΘΕΣΣΑΛΟΝΙΚΗΣ</t>
  </si>
  <si>
    <t>mail@1dim-triandr.thess.sch.gr</t>
  </si>
  <si>
    <t>ΓΥΜΝΑΣΤΗΡΙΟΥ 2Α</t>
  </si>
  <si>
    <t>40ο ΔΗΜΟΤΙΚΟ ΣΧΟΛΕΙΟ ΘΕΣΣΑΛΟΝΙΚΗΣ - ΙΩΑΝΝΙΔΕΙΟΣ ΣΧΟΛΗ</t>
  </si>
  <si>
    <t>mail@40dim-thess.thess.sch.gr</t>
  </si>
  <si>
    <t>2ο ΔΗΜΟΤΙΚΟ ΣΧΟΛΕΙΟ ΤΡΙΑΝΔΡΙΑΣ ΘΕΣΣΑΛΟΝΙΚΗΣ</t>
  </si>
  <si>
    <t>mail@2dim-triandr.thess.sch.gr</t>
  </si>
  <si>
    <t>ΑΘΑΝΑΣΙΟΥ ΔΙΑΚΟΥ 15</t>
  </si>
  <si>
    <t>2ο ΔΗΜΟΤΙΚΟ ΣΧΟΛΕΙΟ ΝΕΑΣ ΜΗΧΑΝΙΩΝΑΣ</t>
  </si>
  <si>
    <t>mail@2dim-n-michan.thess.sch.gr</t>
  </si>
  <si>
    <t>ΑΘΑΝΑΣΙΟΥ ΔΙΑΚΟΥ 1</t>
  </si>
  <si>
    <t>ΚΑΤΩ ΣΧΟΛΑΡΙΟΥ</t>
  </si>
  <si>
    <t>ΔΗΜΟΤΙΚΟ ΣΧΟΛΕΙΟ ΚΑΤΩ ΣΧΟΛΑΡΙΟΥ</t>
  </si>
  <si>
    <t>mail@dim-kat-schol.thess.sch.gr</t>
  </si>
  <si>
    <t>ΚΑΤΩ ΣΧΟΛΑΡΙ</t>
  </si>
  <si>
    <t>ΛΕΩΦΟΡΟΣ ΟΧΙ</t>
  </si>
  <si>
    <t>82ο ΝΗΠΙΑΓΩΓΕΙΟ ΘΕΣΣΑΛΟΝΙΚΗΣ</t>
  </si>
  <si>
    <t>mail@82nip-thess.thess.sch.gr</t>
  </si>
  <si>
    <t>ΔΕΛΦΩΝ 224</t>
  </si>
  <si>
    <t>2ο ΕΙΔΙΚΟ ΔΗΜΟΤΙΚΟ ΣΧΟΛΕΙΟ ΘΕΣΣΑΛΟΝΙΚΗΣ</t>
  </si>
  <si>
    <t>mail@2dim-eid-thess.thess.sch.gr</t>
  </si>
  <si>
    <t>ΕΛΑΙΩΝΩΝ 22, ΕΛΑΙΩΝΕΣ  ΠΥΛΑΙΑΣ</t>
  </si>
  <si>
    <t>1ο ΔΗΜΟΤΙΚΟ ΣΧΟΛΕΙΟ ΦΙΛΥΡΟΥ</t>
  </si>
  <si>
    <t>mail@dim-filyr.thess.sch.gr</t>
  </si>
  <si>
    <t>ΑΝΑΠΑΥΣΕΩΣ 25</t>
  </si>
  <si>
    <t>99ο ΝΗΠΙΑΓΩΓΕΙΟ ΘΕΣΣΑΛΟΝΙΚΗΣ</t>
  </si>
  <si>
    <t>mail@99nip-thess.thess.sch.gr</t>
  </si>
  <si>
    <t>5ο ΔΗΜΟΤΙΚΟ ΣΧΟΛΕΙΟ ΠΥΛΑΙΑΣ</t>
  </si>
  <si>
    <t>mail@5dim-pylaias.thess.sch.gr</t>
  </si>
  <si>
    <t>ΓΕΩΡΓΙΚΗΣ ΣΧΟΛΗΣ 129</t>
  </si>
  <si>
    <t>16ο ΔΗΜΟΤΙΚΟ ΣΧΟΛΕΙΟ ΘΕΣΣΑΛΟΝΙΚΗΣ</t>
  </si>
  <si>
    <t>mail@16dim-thess.thess.sch.gr</t>
  </si>
  <si>
    <t>Πριάμου 2</t>
  </si>
  <si>
    <t>24ο ΔΗΜΟΤΙΚΟ ΣΧΟΛΕΙΟ ΘΕΣΣΑΛΟΝΙΚΗΣ</t>
  </si>
  <si>
    <t>mail@24dim-thess.thess.sch.gr</t>
  </si>
  <si>
    <t>25ο ΔΗΜΟΤΙΚΟ ΣΧΟΛΕΙΟ ΘΕΣΣΑΛΟΝΙΚΗΣ</t>
  </si>
  <si>
    <t>mail@25dim-thess.thess.sch.gr</t>
  </si>
  <si>
    <t>ΔΙΔ. ΑΔΑΜΙΔΗ ΤΕΡΜΑ</t>
  </si>
  <si>
    <t>26ο ΔΗΜΟΤΙΚΟ ΣΧΟΛΕΙΟ ΘΕΣΣΑΛΟΝΙΚΗΣ</t>
  </si>
  <si>
    <t>mail@26dim-thess.thess.sch.gr</t>
  </si>
  <si>
    <t>27ο ΔΗΜΟΤΙΚΟ ΣΧΟΛΕΙΟ ΘΕΣΣΑΛΟΝΙΚΗΣ</t>
  </si>
  <si>
    <t>mail@27dim-thess.thess.sch.gr</t>
  </si>
  <si>
    <t>ΚΑΙΣΑΡΕΙΑΣ 15</t>
  </si>
  <si>
    <t>28ο ΔΗΜΟΤΙΚΟ ΣΧΟΛΕΙΟ ΘΕΣΣΑΛΟΝΙΚΗΣ</t>
  </si>
  <si>
    <t>mail@28dim-thess.thess.sch.gr</t>
  </si>
  <si>
    <t>ΚΑΤΣΙΜΙΔΗ-ΜΗΛΟΥ 33</t>
  </si>
  <si>
    <t>12ο ΝΗΠΙΑΓΩΓΕΙΟ ΚΑΛΑΜΑΡΙΑΣ</t>
  </si>
  <si>
    <t>mail@12nip-kalam.thess.sch.gr</t>
  </si>
  <si>
    <t>23ο ΔΗΜΟΤΙΚΟ ΣΧΟΛΕΙΟ ΘΕΣΣΑΛΟΝΙΚΗΣ</t>
  </si>
  <si>
    <t>mail@23dim-thess.thess.sch.gr</t>
  </si>
  <si>
    <t>ΙΠΠΟΔΡΟΜΙΟΥ 19</t>
  </si>
  <si>
    <t>67ο ΝΗΠΙΑΓΩΓΕΙΟ ΘΕΣΣΑΛΟΝΙΚΗΣ</t>
  </si>
  <si>
    <t>mail@67nip-thess.thess.sch.gr</t>
  </si>
  <si>
    <t>69ο ΝΗΠΙΑΓΩΓΕΙΟ ΘΕΣΣΑΛΟΝΙΚΗΣ</t>
  </si>
  <si>
    <t>mail@69nip-thess.thess.sch.gr</t>
  </si>
  <si>
    <t>ΚΟΣΜΑ ΑΙΤΩΛΟΥ 49</t>
  </si>
  <si>
    <t>76ο ΝΗΠΙΑΓΩΓΕΙΟ ΘΕΣΣΑΛΟΝΙΚΗΣ</t>
  </si>
  <si>
    <t>mail@76nip-thess.thess.sch.gr</t>
  </si>
  <si>
    <t>ΠΑΠΑΖΑΦΕΙΡΙΟΥ 4</t>
  </si>
  <si>
    <t>78ο ΝΗΠΙΑΓΩΓΕΙΟ ΘΕΣΣΑΛΟΝΙΚΗΣ</t>
  </si>
  <si>
    <t>mail@78nip-thess.thess.sch.gr</t>
  </si>
  <si>
    <t>Καρακάση  1</t>
  </si>
  <si>
    <t>106ο ΝΗΠΙΑΓΩΓΕΙΟ ΘΕΣΣΑΛΟΝΙΚΗΣ</t>
  </si>
  <si>
    <t>mail@106nip-thess.thess.sch.gr</t>
  </si>
  <si>
    <t>Ν. ΜΑΝΟΥ 18</t>
  </si>
  <si>
    <t>ΠΕΙΡΑΜΑΤΙΚΟ ΣΧΟΛΕΙΟ ΠΑΝΕΠΙΣΤΗΜΙΟΥ ΘΕΣΣΑΛΟΝΙΚΗΣ - ΔΗΜΟΤΙΚΟ</t>
  </si>
  <si>
    <t>dimpeirthess@sch.gr</t>
  </si>
  <si>
    <t>3ο ΔΗΜΟΤΙΚΟ ΣΧΟΛΕΙΟ ΤΡΙΑΝΔΡΙΑΣ ΘΕΣΣΑΛΟΝΙΚΗΣ</t>
  </si>
  <si>
    <t>mail@3dim-triandr.thess.sch.gr</t>
  </si>
  <si>
    <t>ΖΑΙΜΗ 16</t>
  </si>
  <si>
    <t>1ο ΝΗΠΙΑΓΩΓΕΙΟ ΘΕΣΣΑΛΟΝΙΚΗΣ</t>
  </si>
  <si>
    <t>mail@1nip-thess.thess.sch.gr</t>
  </si>
  <si>
    <t>ΑΓ. ΕΛΕΥΘΕΡΙΟΥ 1 ΚΑΙ  ΜΟΣΧΟΝΗΣΙΩΝ 2</t>
  </si>
  <si>
    <t>2ο ΠΕΙΡΑΜΑΤΙΚΟ ΝΗΠΙΑΓΩΓΕΙΟ (ΕΝΤΑΓΜΕΝΟ ΣΤΟ Α.Π.Θ.)</t>
  </si>
  <si>
    <t>mail@2nip-peir-thess.thess.sch.gr</t>
  </si>
  <si>
    <t>Μ. Αλεξάνδρου 5</t>
  </si>
  <si>
    <t>100ο ΔΗΜΟΤΙΚΟ ΣΧΟΛΕΙΟ ΘΕΣΣΑΛΟΝΙΚΗΣ</t>
  </si>
  <si>
    <t>mail@100dim-thess.thess.sch.gr</t>
  </si>
  <si>
    <t>ΔΙΔ. Β. ΑΔΑΜΙΔΗ 62</t>
  </si>
  <si>
    <t>5ο ΝΗΠΙΑΓΩΓΕΙΟ ΠΑΝΟΡΑΜΑΤΟΣ</t>
  </si>
  <si>
    <t>fivepanorama@gmail.com</t>
  </si>
  <si>
    <t>Μ.ΑΛΕΞΑΝΔΡΟΥ 3-5</t>
  </si>
  <si>
    <t>4ο ΝΗΠΙΑΓΩΓΕΙΟ ΘΕΣΣΑΛΟΝΙΚΗΣ</t>
  </si>
  <si>
    <t>mail@4nip-thess.thess.sch.gr</t>
  </si>
  <si>
    <t>5ο ΝΗΠΙΑΓΩΓΕΙΟ ΘΕΣΣΑΛΟΝΙΚΗΣ</t>
  </si>
  <si>
    <t>mail@5nip-thess.thess.sch.gr</t>
  </si>
  <si>
    <t>ΜΙΑΟΥΛΗ 43</t>
  </si>
  <si>
    <t>7ο ΝΗΠΙΑΓΩΓΕΙΟ ΘΕΣΣΑΛΟΝΙΚΗΣ</t>
  </si>
  <si>
    <t>mail@7nip-thess.thess.sch.gr</t>
  </si>
  <si>
    <t>Μ. ΜΠΟΤΣΑΡΗ 45</t>
  </si>
  <si>
    <t>14ο ΝΗΠΙΑΓΩΓΕΙΟ ΘΕΣΣΑΛΟΝΙΚΗΣ</t>
  </si>
  <si>
    <t>mail@14nip-thess.thess.sch.gr</t>
  </si>
  <si>
    <t>ΚΟΝΤΟΓΟΥΡΗ 24 &amp; ΑΕΤΟΡΑΧΗΣ</t>
  </si>
  <si>
    <t>2ο ΝΗΠΙΑΓΩΓΕΙΟ ΒΑΣΙΛΙΚΩΝ</t>
  </si>
  <si>
    <t>mail@2nip-vasil.thess.sch.gr</t>
  </si>
  <si>
    <t>ΒΑΣΙΛΙΚΑ</t>
  </si>
  <si>
    <t>1ο ΠΕΙΡΑΜΑΤΙΚΟ ΔΗΜΟΤΙΚΟ ΣΧΟΛΕΙΟ ΘΕΣΣΑΛΟΝΙΚΗΣ (ΕΝΤΑΓΜΕΝΟ ΣΤΟ ΑΠΘ)</t>
  </si>
  <si>
    <t>mail@1dim-aei-thess.thess.sch.gr</t>
  </si>
  <si>
    <t>ΕΓΝΑΤΙΑΣ 132</t>
  </si>
  <si>
    <t>109ο ΔΗΜΟΤΙΚΟ ΣΧΟΛΕΙΟ ΘΕΣΣΑΛΟΝΙΚΗΣ - ΘΕΟΧΑΡΗ-ΜΑΡΙΑΣ ΜΑΝΑΒΗ</t>
  </si>
  <si>
    <t>mail@109dim-thess.thess.sch.gr</t>
  </si>
  <si>
    <t>ΤΣΙΑΠΑΝΟΥ &amp; ΤΣΕΛΙΟΥ</t>
  </si>
  <si>
    <t>17ο ΔΗΜΟΤΙΚΟ ΣΧΟΛΕΙΟ ΘΕΣΣΑΛΟΝΙΚΗΣ</t>
  </si>
  <si>
    <t>mail@17dim-thess.thess.sch.gr</t>
  </si>
  <si>
    <t>ΔΕΛΦΩΝ 196</t>
  </si>
  <si>
    <t>16ο ΝΗΠΙΑΓΩΓΕΙΟ ΘΕΣΣΑΛΟΝΙΚΗΣ</t>
  </si>
  <si>
    <t>mail@16nip-thess.thess.sch.gr</t>
  </si>
  <si>
    <t>ΑΛΚΜΗΝΗΣ 20</t>
  </si>
  <si>
    <t>17ο ΝΗΠΙΑΓΩΓΕΙΟ ΘΕΣΣΑΛΟΝΙΚΗΣ</t>
  </si>
  <si>
    <t>mail@17nip-thess.thess.sch.gr</t>
  </si>
  <si>
    <t>ΠΛΑΣΤΗΡΑ 6</t>
  </si>
  <si>
    <t>44ο ΝΗΠΙΑΓΩΓΕΙΟ ΘΕΣΣΑΛΟΝΙΚΗΣ</t>
  </si>
  <si>
    <t>mail@44nip-thess.thess.sch.gr</t>
  </si>
  <si>
    <t>ΣΤΕΛΙΟΥ ΚΑΖΑΝΤΖΙΔΗ 62-64</t>
  </si>
  <si>
    <t>93ο ΝΗΠΙΑΓΩΓΕΙΟ ΘΕΣΣΑΛΟΝΙΚΗΣ</t>
  </si>
  <si>
    <t>mail@93nip-thess.thess.sch.gr</t>
  </si>
  <si>
    <t>25ΗΣ ΜΑΡΤΙΟΥ 1</t>
  </si>
  <si>
    <t>102ο ΝΗΠΙΑΓΩΓΕΙΟ ΘΕΣΣΑΛΟΝΙΚΗΣ</t>
  </si>
  <si>
    <t>mail@102nip-thess.thess.sch.gr</t>
  </si>
  <si>
    <t>ΚΑΘ.ΧΑΤΖΗΔΑΚΗ-ΜΕΡΚΟΥΡΙΟΥ</t>
  </si>
  <si>
    <t>ΑΓΓΕΛΟΧΩΡΙΟΥ</t>
  </si>
  <si>
    <t>ΝΗΠΙΑΓΩΓΕΙΟ ΑΓΓΕΛΟΧΩΡΙΟΥ</t>
  </si>
  <si>
    <t>mail@1nip-angel.thess.sch.gr</t>
  </si>
  <si>
    <t>ΑΓΓΕΛΟΧΩΡΙ</t>
  </si>
  <si>
    <t>ΑΓΙΑΣ ΤΡΙΑΔΟΣ</t>
  </si>
  <si>
    <t>ΔΗΜΟΤΙΚΟ ΣΧΟΛΕΙΟ ΑΓΙΑΣ ΤΡΙΑΔΑΣ (ΘΕΡΜΑΪΚΟΥ)</t>
  </si>
  <si>
    <t>mail@dim-ag-triad.thess.sch.gr</t>
  </si>
  <si>
    <t>ΚΟΛΟΚΟΤΡΩΝΗ 4</t>
  </si>
  <si>
    <t>1ο ΔΗΜΟΤΙΚΟ ΣΧΟΛΕΙΟ ΝΕΑΣ ΜΗΧΑΝΙΩΝΑΣ</t>
  </si>
  <si>
    <t>mail@1dim-n-michan.thess.sch.gr</t>
  </si>
  <si>
    <t>ΚΑΝΑΡΗ 17</t>
  </si>
  <si>
    <t>1ο ΔΗΜΟΤΙΚΟ ΣΧΟΛΕΙΟ ΕΠΑΝΟΜΗΣ</t>
  </si>
  <si>
    <t>mail@1dim-epanom.thess.sch.gr</t>
  </si>
  <si>
    <t>ΣΧΟΛΕΙΟΥ 17</t>
  </si>
  <si>
    <t>2ο ΔΗΜΟΤΙΚΟ ΣΧΟΛΕΙΟ ΕΠΑΝΟΜΗΣ</t>
  </si>
  <si>
    <t>mail@2dim-epanom.thess.sch.gr</t>
  </si>
  <si>
    <t>ΑΓ. ΔΗΜΗΤΡΙΟΥ 10</t>
  </si>
  <si>
    <t>ΑΓΙΟΥ ΔΗΜΗΤΡΙΟΥ 10</t>
  </si>
  <si>
    <t>ΔΗΜΟΤΙΚΟ ΣΧΟΛΕΙΟ ΠΕΡΙΣΤΕΡΑΣ (ΘΕΡΜΗΣ)</t>
  </si>
  <si>
    <t>mail@dim-perist.thess.sch.gr</t>
  </si>
  <si>
    <t>ΑΓΙΑΣ ΠΑΡΑΣΚΕΥΗΣ</t>
  </si>
  <si>
    <t>ΔΗΜΟΤΙΚΟ ΣΧΟΛΕΙΟ ΑΓΙΑΣ ΠΑΡΑΣΚΕΥΗΣ (ΘΕΡΜΗΣ)</t>
  </si>
  <si>
    <t>mail@dim-ag-parask.thess.sch.gr</t>
  </si>
  <si>
    <t>ΑΓΙΑ ΠΑΡΑΣΚΕΥΗ</t>
  </si>
  <si>
    <t>ΔΗΜΟΤΙΚΟ ΣΧΟΛΕΙΟ ΑΓΓΕΛΟΧΩΡΙΟΥ (ΘΕΡΜΑΪΚΟΥ)</t>
  </si>
  <si>
    <t>mail@dim-angel.thess.sch.gr</t>
  </si>
  <si>
    <t>ΟΔΟΣ ΜΗΧΑΝΙΩΝΑΣ</t>
  </si>
  <si>
    <t>1ο ΔΗΜΟΤΙΚΟ ΣΧΟΛΕΙΟ ΠΛΑΓΙΑΡΙΟΥ (ΘΕΡΜΗΣ)</t>
  </si>
  <si>
    <t>mail@dim-plagiar.thess.sch.gr</t>
  </si>
  <si>
    <t>ΑΓΙΟΥ ΔΗΜΗΤΡΙΟΥ 6</t>
  </si>
  <si>
    <t>ΔΗΜΟΤΙΚΟ ΣΧΟΛΕΙΟ ΑΓΙΟΥ ΑΝΤΩΝΙΟΥ (ΘΕΡΜΗΣ)</t>
  </si>
  <si>
    <t>mail@dim-ag-anton.thess.sch.gr</t>
  </si>
  <si>
    <t>ΑΓ. ΑΝΤΩΝΙΟΣ</t>
  </si>
  <si>
    <t>2ο ΔΗΜΟΤΙΚΟ ΣΧΟΛΕΙΟ ΠΕΡΑΙΑΣ</t>
  </si>
  <si>
    <t>mail@2dim-peraias.thess.sch.gr</t>
  </si>
  <si>
    <t>ΤΕΡΜΑ Μ. ΑΛΕΞΑΝΔΡΟΥ</t>
  </si>
  <si>
    <t>3ο ΔΗΜΟΤΙΚΟ ΣΧΟΛΕΙΟ ΠΕΡΑΙΑΣ</t>
  </si>
  <si>
    <t>mail@3dim-peraias.thess.sch.gr</t>
  </si>
  <si>
    <t>ΜΗΔΕΙΑΣ 8</t>
  </si>
  <si>
    <t>4ο ΔΗΜΟΤΙΚΟ ΣΧΟΛΕΙΟ ΠΕΡΑΙΑΣ</t>
  </si>
  <si>
    <t>mail@4dim-peraias.thess.sch.gr</t>
  </si>
  <si>
    <t>ΡΗΓΑ ΦΕΡΑΙΟΥ 14Β</t>
  </si>
  <si>
    <t>ΝΗΠΙΑΓΩΓΕΙΟ ΚΑΤΩ ΣΧΟΛΑΡΙΟΥ</t>
  </si>
  <si>
    <t>mail@1nip-kat-shol.thess.sch.gr</t>
  </si>
  <si>
    <t>ΝΗΠΙΑΓΩΓΕΙΟ ΛΑΚΚΙΑΣ</t>
  </si>
  <si>
    <t>mail@1nip-lakkias.thess.sch.gr</t>
  </si>
  <si>
    <t>ΟΙΚΙΣΜΟΣ ΛΑΚΚΙΑΣ</t>
  </si>
  <si>
    <t>ΝΗΠΙΑΓΩΓΕΙΟ ΑΓΙΑΣ ΤΡΙΑΔΑΣ (ΘΕΡΜΑΪΚΟΥ)</t>
  </si>
  <si>
    <t>mail@1nip-ag-triad.thess.sch.gr</t>
  </si>
  <si>
    <t>ΛΕΩΦ. ΘΕΣΣΑΛΟΝΙΚΗΣ</t>
  </si>
  <si>
    <t>1ο ΝΗΠΙΑΓΩΓΕΙΟ ΒΑΣΙΛΙΚΩΝ</t>
  </si>
  <si>
    <t>mail@1nip-vasil.thess.sch.gr</t>
  </si>
  <si>
    <t>1ο ΝΗΠΙΑΓΩΓΕΙΟ ΠΕΡΑΙΑΣ</t>
  </si>
  <si>
    <t>mail@1nip-peraias.thess.sch.gr</t>
  </si>
  <si>
    <t>1ο ΝΗΠΙΑΓΩΓΕΙΟ ΕΠΑΝΟΜΗΣ</t>
  </si>
  <si>
    <t>mail@1nip-epanom.thess.sch.gr</t>
  </si>
  <si>
    <t>1ο ΝΗΠΙΑΓΩΓΕΙΟ ΝΕΑΣ ΜΗΧΑΝΙΩΝΑΣ</t>
  </si>
  <si>
    <t>mail@1nip-n-michan.thess.sch.gr</t>
  </si>
  <si>
    <t>ΜΑΡΓΑΡΙΤΗ ΕΥΑΓΓΕΛΙΔΗ 1</t>
  </si>
  <si>
    <t>2ο ΝΗΠΙΑΓΩΓΕΙΟ ΠΕΡΑΙΑΣ</t>
  </si>
  <si>
    <t>mail@2nip-peraias.thess.sch.gr</t>
  </si>
  <si>
    <t>2ο ΝΗΠΙΑΓΩΓΕΙΟ ΕΠΑΝΟΜΗΣ</t>
  </si>
  <si>
    <t>mail@2nip-epanom.thess.sch.gr</t>
  </si>
  <si>
    <t>27ο ΝΗΠΙΑΓΩΓΕΙΟ ΚΑΛΑΜΑΡΙΑΣ</t>
  </si>
  <si>
    <t>mail@27nip-kalam.thess.sch.gr</t>
  </si>
  <si>
    <t>5ο ΝΗΠΙΑΓΩΓΕΙΟ ΚΑΛΑΜΑΡΙΑΣ</t>
  </si>
  <si>
    <t>mail@5nip-kalam.thess.sch.gr</t>
  </si>
  <si>
    <t>ΤΡΑΠΕΖΟΥΝΤΟΣ 1</t>
  </si>
  <si>
    <t>15ο ΝΗΠΙΑΓΩΓΕΙΟ ΚΑΛΑΜΑΡΙΑΣ</t>
  </si>
  <si>
    <t>mail@15nip-kalam.thess.sch.gr</t>
  </si>
  <si>
    <t>ΘΕΤΙΔΟΣ &amp; ΗΣΙΟΔΟΥ</t>
  </si>
  <si>
    <t>9ο ΝΗΠΙΑΓΩΓΕΙΟ ΚΑΛΑΜΑΡΙΑΣ</t>
  </si>
  <si>
    <t>mail@9nip-kalam.thess.sch.gr</t>
  </si>
  <si>
    <t>ΚΑΛΛΙΔΟΥ-ΠΑΠΑΓΟΥ</t>
  </si>
  <si>
    <t>3ο ΔΗΜΟΤΙΚΟ ΣΧΟΛΕΙΟ ΘΕΣΣΑΛΟΝΙΚΗΣ</t>
  </si>
  <si>
    <t>mail@3dim-thess.thess.sch.gr</t>
  </si>
  <si>
    <t>ΕΙΔΙΚΟ ΔΗΜΟΤΙΚΟ ΣΧΟΛΕΙΟ ΝΟΣΟΚΟΜΕΙΟΥ "Γ. ΠΑΠΑΝΙΚΟΛΑΟΥ"</t>
  </si>
  <si>
    <t>mail@dim-eid-papanik.thess.sch.gr</t>
  </si>
  <si>
    <t>ΝΟΣΟΚΟΜΕΙΟ ΠΑΠΑΝΙΚΟΛΑΟΥ</t>
  </si>
  <si>
    <t>ΕΙΔΙΚΟ ΝΗΠΙΑΓΩΓΕΙΟ ΝΟΣΟΚΟΜΕΙΟΥ "Γ. ΠΑΠΑΝΙΚΟΛΑΟΥ"</t>
  </si>
  <si>
    <t>mail@nip-eid-papanik.thess.sch.gr</t>
  </si>
  <si>
    <t>ΝΟΣΟΚΟΜΕΙΟ ΠΑΠΑΝΙΚΟΛΑΟΥ, ΕΞΟΧΗ</t>
  </si>
  <si>
    <t>13ο ΔΗΜΟΤΙΚΟ ΣΧΟΛΕΙΟ ΘΕΣΣΑΛΟΝΙΚΗΣ</t>
  </si>
  <si>
    <t>mail@13dim-thess.thess.sch.gr</t>
  </si>
  <si>
    <t>ΒΑΛΑΓΙΑΝΝΗ 1</t>
  </si>
  <si>
    <t>29ο ΔΗΜΟΤΙΚΟ ΣΧΟΛΕΙΟ ΘΕΣΣΑΛΟΝΙΚΗΣ</t>
  </si>
  <si>
    <t>mail@29dim-thess.thess.sch.gr</t>
  </si>
  <si>
    <t>89ο ΔΗΜΟΤΙΚΟ ΣΧΟΛΕΙΟ ΘΕΣΣΑΛΟΝΙΚΗΣ</t>
  </si>
  <si>
    <t>mail@89dim-thess.thess.sch.gr</t>
  </si>
  <si>
    <t>Β. ΟΛΓΑΣ-Ν. ΜΑΝΟΥ</t>
  </si>
  <si>
    <t>94ο ΔΗΜΟΤΙΚΟ ΣΧΟΛΕΙΟ ΘΕΣΣΑΛΟΝΙΚΗΣ</t>
  </si>
  <si>
    <t>mail@94dim-thess.thess.sch.gr</t>
  </si>
  <si>
    <t>ΚΡΗΤΗΣ 88</t>
  </si>
  <si>
    <t>5ο ΔΗΜΟΤΙΚΟ ΣΧΟΛΕΙΟ ΘΕΣΣΑΛΟΝΙΚΗΣ</t>
  </si>
  <si>
    <t>mail@5dim-thess.thess.sch.gr</t>
  </si>
  <si>
    <t>ΨΥΧΑΡΗ 8 &amp; ΔΕΛΦΩΝ</t>
  </si>
  <si>
    <t>107ο ΔΗΜΟΤΙΚΟ ΣΧΟΛΕΙΟ ΘΕΣΣΑΛΟΝΙΚΗΣ</t>
  </si>
  <si>
    <t>mail@107dim-thess.thess.sch.gr</t>
  </si>
  <si>
    <t>ΝΕΜΕΑΣ 1</t>
  </si>
  <si>
    <t>9ο ΝΗΠΙΑΓΩΓΕΙΟ ΘΕΣΣΑΛΟΝΙΚΗΣ</t>
  </si>
  <si>
    <t>mail@9nip-thess.thess.sch.gr</t>
  </si>
  <si>
    <t>2ο ΝΗΠΙΑΓΩΓΕΙΟ ΧΟΡΤΙΑΤΗ</t>
  </si>
  <si>
    <t>mail@2nip-chort.thess.sch.gr</t>
  </si>
  <si>
    <t>ΣΧΟΛΕΙΩΝ 3</t>
  </si>
  <si>
    <t>ΕΙΔΙΚΟ ΔΗΜΟΤΙΚΟ ΣΧΟΛΕΙΟ ΚΩΦΩΝ-ΒΑΡΗΚΟΩΝ ΠΑΝΟΡΑΜΑΤΟΣ</t>
  </si>
  <si>
    <t>mail@dim-ekv-thess.thess.sch.gr</t>
  </si>
  <si>
    <t>6ο ΝΗΠΙΑΓΩΓΕΙΟ ΠΥΛΑΙΑΣ</t>
  </si>
  <si>
    <t>mail@6nip-pylaias.thess.sch.gr</t>
  </si>
  <si>
    <t>ΒΟΥΛΓΑΡΟΚΤΟΝΟΥ-ΚΥΠΡΟΥ</t>
  </si>
  <si>
    <t>63ο ΝΗΠΙΑΓΩΓΕΙΟ ΘΕΣΣΑΛΟΝΙΚΗΣ</t>
  </si>
  <si>
    <t>mail@63nip-thess.thess.sch.gr</t>
  </si>
  <si>
    <t>ΑΡΡΙΑΝΟΥ  3</t>
  </si>
  <si>
    <t>3ο ΔΗΜΟΤΙΚΟ ΣΧΟΛΕΙΟ ΠΥΛΑΙΑΣ</t>
  </si>
  <si>
    <t>mail@3dim-pylaias.thess.sch.gr</t>
  </si>
  <si>
    <t>ΓΕΩΡΓΙΟΥ ΣΕΦΕΡΗ 24</t>
  </si>
  <si>
    <t>ΔΗΜΟΤΙΚΟ ΣΧΟΛΕΙΟ ΝΕΟΥ ΡΥΣΙΟΥ</t>
  </si>
  <si>
    <t>mail@dim-n-rysiou.thess.sch.gr</t>
  </si>
  <si>
    <t>ΤΕΡΜΑ 25ης ΜΑΡΤΙΟΥ</t>
  </si>
  <si>
    <t>2ο ΔΗΜΟΤΙΚΟ ΣΧΟΛΕΙΟ ΝΕΑΣ ΡΑΙΔΕΣΤΟΥ</t>
  </si>
  <si>
    <t>mail@2dim-n-raidest.thess.sch.gr</t>
  </si>
  <si>
    <t>22 χμ ΕΘΝ.ΟΔ. ΘΕΣ/ΝΙΚΗΣ-ΠΟΛΥΓΥΡΟΥ</t>
  </si>
  <si>
    <t>2ο ΔΗΜΟΤΙΚΟ ΣΧΟΛΕΙΟ ΤΡΙΛΟΦΟΥ- ‹‹ΖΟΥΛΦΑΚΟΣ ΔΗΜΗΤΡΗΣ››</t>
  </si>
  <si>
    <t>mail@2dim-trilof.thess.sch.gr</t>
  </si>
  <si>
    <t>ΕΣΠΕΡΙΔΩΝ</t>
  </si>
  <si>
    <t>ΔΗΜΟΤΙΚΟ ΣΧΟΛΕΙΟ ΣΟΥΡΩΤΗΣ</t>
  </si>
  <si>
    <t>3ο ΝΗΠΙΑΓΩΓΕΙΟ ΒΑΣΙΛΙΚΩΝ</t>
  </si>
  <si>
    <t>8ο ΝΗΠΙΑΓΩΓΕΙΟ ΠΕΡΑΙΑΣ</t>
  </si>
  <si>
    <t>mail@8nip-peraias.thess.sch.gr</t>
  </si>
  <si>
    <t>ΡΗΓΑ ΦΕΡΡΑΙΟΥ 14Β</t>
  </si>
  <si>
    <t>2ο ΔΗΜΟΤΙΚΟ ΣΧΟΛΕΙΟ ΑΣΒΕΣΤΟΧΩΡΙΟΥ</t>
  </si>
  <si>
    <t>mail@2dim-asvest.thess.sch.gr</t>
  </si>
  <si>
    <t>2ο ΔΗΜΟΤΙΚΟ ΣΧΟΛΕΙΟ ΦΙΛΥΡΟΥ</t>
  </si>
  <si>
    <t>mail@2dim-filyr.thess.sch.gr</t>
  </si>
  <si>
    <t>7ο ΝΗΠΙΑΓΩΓΕΙΟ ΠΥΛΑΙΑΣ</t>
  </si>
  <si>
    <t>mail@7nip-pylaias.thess.sch.gr</t>
  </si>
  <si>
    <t>ΔΟΜΝΑΣ ΒΙΖΒΙΖΗ 27</t>
  </si>
  <si>
    <t>5ο ΔΗΜΟΤΙΚΟ ΣΧΟΛΕΙΟ ΠΕΡΑΙΑΣ</t>
  </si>
  <si>
    <t>mail@5dim-peraias.thess.sch.gr</t>
  </si>
  <si>
    <t>ΠΙΝΔΑΡΟΥ 20</t>
  </si>
  <si>
    <t>3ο ΝΗΠΙΑΓΩΓΕΙΟ ΤΡΙΛΟΦΟΥ</t>
  </si>
  <si>
    <t>mail@3nip-trilof.thess.sch.gr</t>
  </si>
  <si>
    <t>3ο ΝΗΠΙΑΓΩΓΕΙΟ ΝΕΑΣ ΡΑΙΔΕΣΤΟΥ</t>
  </si>
  <si>
    <t>mail@3nip-n-raidest.thess.sch.gr</t>
  </si>
  <si>
    <t>ΚΩΝ. ΚΑΡΑΜΑΝΛΗ 1</t>
  </si>
  <si>
    <t>2ο ΝΗΠΙΑΓΩΓΕΙΟ ΝΕΟΥ ΡΥΣΙΟΥ</t>
  </si>
  <si>
    <t>mail@2nip-n-rysiou.thess.sch.gr</t>
  </si>
  <si>
    <t>25ης ΜΑΡΤΙΟΥ</t>
  </si>
  <si>
    <t>8ο ΝΗΠΙΑΓΩΓΕΙΟ ΠΥΛΑΙΑΣ</t>
  </si>
  <si>
    <t>mail@8nip-pylaias.thess.sch.gr</t>
  </si>
  <si>
    <t>ΚΑΠΕΤΑΝ ΝΤΟΓΡΑ 32</t>
  </si>
  <si>
    <t>4ο ΔΗΜΟΤΙΚΟ ΣΧΟΛΕΙΟ ΠΥΛΑΙΑΣ</t>
  </si>
  <si>
    <t>mail@4dim-pylaias.thess.sch.gr</t>
  </si>
  <si>
    <t>ΑΜΦΟΤΕΡΟΥ - ΒΕΡΓΙΝΑΣ</t>
  </si>
  <si>
    <t>5ο ΔΗΜΟΤΙΚΟ ΣΧΟΛΕΙΟ ΘΕΡΜΗΣ-ΤΡΙΑΔΙΟΥ</t>
  </si>
  <si>
    <t>mail@5dim-therm.thess.sch.gr</t>
  </si>
  <si>
    <t>ΕΛΛΗΣ ΛΑΜΠΕΤΗ 10</t>
  </si>
  <si>
    <t>ΔΗΜΟΤΙΚΟ ΣΧΟΛΕΙΟ ΒΑΣΙΛΙΚΩΝ</t>
  </si>
  <si>
    <t>mail@1dim-vasil.thess.sch.gr</t>
  </si>
  <si>
    <t>ΔΗΜΟΤΙΚΟ ΣΧΟΛΕΙΟ ΜΕΣΗΜΕΡΙΟΥ</t>
  </si>
  <si>
    <t>mail@dim-mesim.thess.sch.gr</t>
  </si>
  <si>
    <t>2ο ΔΗΜΟΤΙΚΟ ΣΧΟΛΕΙΟ ΠΛΑΓΙΑΡΙΟΥ</t>
  </si>
  <si>
    <t>mail@2dim-plagiar.thess.sch.gr</t>
  </si>
  <si>
    <t>ΑΓΙΟΥ ΔΗΜΗΤΡΙΟΥ 6Β</t>
  </si>
  <si>
    <t>1ο ΔΗΜΟΤΙΚΟ ΣΧΟΛΕΙΟ ΤΡΙΛΟΦΟΥ</t>
  </si>
  <si>
    <t>mail@dim-trilof.thess.sch.gr</t>
  </si>
  <si>
    <t>3ο ΠΕΙΡΑΜΑΤΙΚΟ ΝΗΠΙΑΓΩΓΕΙΟ (ΕΝΤΑΓΜΕΝΟ ΣΤΟ ΑΠΘ)</t>
  </si>
  <si>
    <t>mail@3nip-peir-thess.thess.sch.gr</t>
  </si>
  <si>
    <t>ΜΕΓΑΛΟΥ ΑΛΕΞΑΝΔΡΟΥ 5 ΠΑΙΔΙΚΟΣ ΣΤΑΘΜΟΣ "ΚΟΥΝΙΕΣ"</t>
  </si>
  <si>
    <t>2ο ΝΗΠΙΑΓΩΓΕΙΟ ΘΕΣΣΑΛΟΝΙΚΗΣ</t>
  </si>
  <si>
    <t>mail@2nip-thess.thess.sch.gr</t>
  </si>
  <si>
    <t>Ν. ΤΥΠΑ 1</t>
  </si>
  <si>
    <t>9ο ΝΗΠΙΑΓΩΓΕΙΟ ΠΕΡΑΙΑΣ</t>
  </si>
  <si>
    <t>mail@9nip-peraias.thess.sch.gr</t>
  </si>
  <si>
    <t>ΚΡΗΤΗΣ &amp; ΞΕΝΙΟΥ ΔΙΟΣ</t>
  </si>
  <si>
    <t>ΝΗΠΙΑΓΩΓΕΙΟ ΑΓΙΑΣ ΠΑΡΑΣΚΕΥΗΣ ΘΕΣΣΑΛΟΝΙΚΗΣ</t>
  </si>
  <si>
    <t>mail@1nip-ag-parask.thess.sch.gr</t>
  </si>
  <si>
    <t>3ο ΝΗΠΙΑΓΩΓΕΙΟ ΠΛΑΓΙΑΡΙΟΥ</t>
  </si>
  <si>
    <t>mail@3nip-plagiar.thess.sch.gr</t>
  </si>
  <si>
    <t>ΔΩΔΕΚΑΝΗΣΟΥ 40</t>
  </si>
  <si>
    <t>ΕΙΔΙΚΟ ΔΗΜΟΤΙΚΟ ΣΧΟΛΕΙΟ ΚΑΛΑΜΑΡΙΑΣ</t>
  </si>
  <si>
    <t>ΑΝΑΣΤΟΛΗ ΛΕΙΤΟΥΡΓΙΑΣ</t>
  </si>
  <si>
    <t>ΕΙΔΙΚΟ ΝΗΠΙΑΓΩΓΕΙΟ ΚΑΛΑΜΑΡΙΑΣ</t>
  </si>
  <si>
    <t>4ο ΝΗΠΙΑΓΩΓΕΙΟ ΠΑΝΟΡΑΜΑΤΟΣ</t>
  </si>
  <si>
    <t>6ο ΝΗΠΙΑΓΩΓΕΙΟ ΘΕΡΜΗΣ</t>
  </si>
  <si>
    <t>mail@6nip-therm.thess.sch.gr</t>
  </si>
  <si>
    <t>ΑΘΗΝΑΣ 14</t>
  </si>
  <si>
    <t>11ο  ΝΗΠΙΑΓΩΓΕΙΟ ΕΙΔΙΚΗΣ ΑΓΩΓΗΣ ΘΕΣΣΑΛΟΝΙΚΗΣ (Π.Γ.Ν.Θ.ΑΧΕΠΑ) - ΝΟΣΟΚΟΜΕΙΑΚΟ</t>
  </si>
  <si>
    <t>mail@11nip-eid-thess.thess.sch.gr</t>
  </si>
  <si>
    <t>ΣΤΙΛΠΩΝΟΣ ΚΥΡΙΑΚΙΔΗ 1 (Π.Γ.Ν.Θ. ΑΧΕΠΑ)</t>
  </si>
  <si>
    <t>4ο ΝΗΠΙΑΓΩΓΕΙΟ ΝΕΩΝ ΕΠΙΒΑΤΩΝ</t>
  </si>
  <si>
    <t>ΔΗΜΟΤΙΚΟ ΣΧΟΛΕΙΟ ΝΕΑΣ ΚΕΡΑΣΙΑΣ</t>
  </si>
  <si>
    <t>mail@dim-keras.thess.sch.gr</t>
  </si>
  <si>
    <t>ΙΩΝΟΣ ΔΡΑΓΟΥΜΗ 34</t>
  </si>
  <si>
    <t>5ο ΝΗΠΙΑΓΩΓΕΙΟ ΝΕΑΣ ΜΗΧΑΝΙΩΝΑΣ</t>
  </si>
  <si>
    <t>ΔΗΜΟΤΙΚΟ ΣΧΟΛΕΙΟ ΝΕΩΝ ΕΠΙΒΑΤΩΝ</t>
  </si>
  <si>
    <t>3ο ΔΗΜΟΤΙΚΟ ΣΧΟΛΕΙΟ ΝΕΑΣ ΜΗΧΑΝΙΩΝΑΣ</t>
  </si>
  <si>
    <t>4ο ΔΗΜΟΤΙΚΟ ΣΧΟΛΕΙΟ ΕΠΑΝΟΜΗΣ</t>
  </si>
  <si>
    <t>2ο ΔΗΜΟΤΙΚΟ ΣΧΟΛΕΙΟ ΚΑΡΔΙΑΣ</t>
  </si>
  <si>
    <t>mail@2dim-kardias.thess.sch.gr</t>
  </si>
  <si>
    <t>ΕΥΜΕΝΟΥΣ  ΚΑΡΔΙΑΝΟΥ</t>
  </si>
  <si>
    <t>2ο ΔΗΜΟΤΙΚΟ ΣΧΟΛΕΙΟ ΒΑΣΙΛΙΚΩΝ</t>
  </si>
  <si>
    <t>6ο ΔΗΜΟΤΙΚΟ ΣΧΟΛΕΙΟ ΘΕΡΜΗΣ</t>
  </si>
  <si>
    <t>7ο ΝΗΠΙΑΓΩΓΕΙΟ ΘΕΡΜΗΣ</t>
  </si>
  <si>
    <t>mail@7nip-therm.thess.sch.gr</t>
  </si>
  <si>
    <t>ΗΡΟΔΟΤΟΥ, ΤΡΙΑΔΙ</t>
  </si>
  <si>
    <t>ΕΙΔΙΚΟ ΔΗΜΟΤΙΚΟ ΣΧΟΛΕΙΟ ΔΗΜΟΥ ΘΕΡΜΑΪΚΟΥ</t>
  </si>
  <si>
    <t>mail@dim-eid-therm.thess.sch.gr</t>
  </si>
  <si>
    <t>ΔΑΓΚΛΗ 2</t>
  </si>
  <si>
    <t>8ο ΝΗΠΙΑΓΩΓΕΙΟ ΘΕΡΜΗΣ</t>
  </si>
  <si>
    <t>9ο ΝΗΠΙΑΓΩΓΕΙΟ ΠΥΛΑΙΑΣ</t>
  </si>
  <si>
    <t>mail@9nip-pylaias.thess.sch.gr</t>
  </si>
  <si>
    <t>Ναυπάκτου, Τήνου, Καπετάν Ντόγρα &amp; Πάτμου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</si>
</sst>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9"/>
  <sheetViews>
    <sheetView tabSelected="1" zoomScale="85" zoomScaleNormal="85" workbookViewId="0"/>
  </sheetViews>
  <sheetFormatPr defaultRowHeight="15"/>
  <cols>
    <col min="1" max="1" width="16.7109375" style="2" bestFit="1" customWidth="1"/>
    <col min="2" max="2" width="13" style="2" bestFit="1" customWidth="1"/>
    <col min="3" max="3" width="43.5703125" customWidth="1"/>
    <col min="4" max="4" width="18.5703125" style="2" bestFit="1" customWidth="1"/>
    <col min="5" max="5" width="19.28515625" style="2" bestFit="1" customWidth="1"/>
    <col min="6" max="6" width="31.42578125" style="2" bestFit="1" customWidth="1"/>
    <col min="7" max="7" width="18.42578125" style="2" bestFit="1" customWidth="1"/>
    <col min="8" max="8" width="16.140625" style="2" bestFit="1" customWidth="1"/>
    <col min="9" max="9" width="20.42578125" style="2" bestFit="1" customWidth="1"/>
    <col min="10" max="10" width="13.7109375" style="2" customWidth="1"/>
    <col min="11" max="11" width="35.7109375" bestFit="1" customWidth="1"/>
    <col min="12" max="12" width="58.42578125" bestFit="1" customWidth="1"/>
    <col min="13" max="13" width="6" style="2" bestFit="1" customWidth="1"/>
    <col min="14" max="14" width="21.28515625" style="2" bestFit="1" customWidth="1"/>
    <col min="15" max="15" width="20.7109375" style="2" bestFit="1" customWidth="1"/>
    <col min="16" max="16" width="12.140625" style="2" bestFit="1" customWidth="1"/>
  </cols>
  <sheetData>
    <row r="1" spans="1:16" ht="44.25" customHeight="1">
      <c r="A1" s="1" t="s">
        <v>4</v>
      </c>
      <c r="B1" s="1" t="s">
        <v>5</v>
      </c>
      <c r="C1" s="1" t="s">
        <v>6</v>
      </c>
      <c r="D1" s="1" t="s">
        <v>1</v>
      </c>
      <c r="E1" s="1" t="s">
        <v>2</v>
      </c>
      <c r="F1" s="1" t="s">
        <v>3</v>
      </c>
      <c r="G1" s="1" t="s">
        <v>7</v>
      </c>
      <c r="H1" s="1" t="s">
        <v>8</v>
      </c>
      <c r="I1" s="1" t="s">
        <v>0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3" t="s">
        <v>33</v>
      </c>
      <c r="B2" s="3" t="str">
        <f>"9190348"</f>
        <v>9190348</v>
      </c>
      <c r="C2" s="4" t="s">
        <v>768</v>
      </c>
      <c r="D2" s="3" t="s">
        <v>144</v>
      </c>
      <c r="E2" s="3" t="s">
        <v>225</v>
      </c>
      <c r="F2" s="3" t="s">
        <v>225</v>
      </c>
      <c r="G2" s="3">
        <v>6</v>
      </c>
      <c r="H2" s="3">
        <v>10</v>
      </c>
      <c r="I2" s="3" t="s">
        <v>38</v>
      </c>
      <c r="J2" s="3">
        <v>2392041237</v>
      </c>
      <c r="K2" s="4" t="s">
        <v>769</v>
      </c>
      <c r="L2" s="4" t="s">
        <v>770</v>
      </c>
      <c r="M2" s="3">
        <v>57500</v>
      </c>
      <c r="N2" s="3" t="str">
        <f>"40.424468"</f>
        <v>40.424468</v>
      </c>
      <c r="O2" s="3" t="str">
        <f>"22.930485"</f>
        <v>22.930485</v>
      </c>
      <c r="P2" s="3" t="s">
        <v>23</v>
      </c>
    </row>
    <row r="3" spans="1:16">
      <c r="A3" s="3" t="s">
        <v>33</v>
      </c>
      <c r="B3" s="3" t="str">
        <f>"9190350"</f>
        <v>9190350</v>
      </c>
      <c r="C3" s="4" t="s">
        <v>771</v>
      </c>
      <c r="D3" s="3" t="s">
        <v>144</v>
      </c>
      <c r="E3" s="3" t="s">
        <v>225</v>
      </c>
      <c r="F3" s="3" t="s">
        <v>225</v>
      </c>
      <c r="G3" s="3">
        <v>8</v>
      </c>
      <c r="H3" s="3">
        <v>10</v>
      </c>
      <c r="I3" s="3" t="s">
        <v>38</v>
      </c>
      <c r="J3" s="3">
        <v>2392041277</v>
      </c>
      <c r="K3" s="4" t="s">
        <v>772</v>
      </c>
      <c r="L3" s="4" t="s">
        <v>773</v>
      </c>
      <c r="M3" s="3">
        <v>57500</v>
      </c>
      <c r="N3" s="3" t="str">
        <f>"40.429528"</f>
        <v>40.429528</v>
      </c>
      <c r="O3" s="3" t="str">
        <f>"22.928230"</f>
        <v>22.928230</v>
      </c>
      <c r="P3" s="3" t="s">
        <v>23</v>
      </c>
    </row>
    <row r="4" spans="1:16">
      <c r="A4" s="3" t="s">
        <v>33</v>
      </c>
      <c r="B4" s="3" t="str">
        <f>"9190910"</f>
        <v>9190910</v>
      </c>
      <c r="C4" s="4" t="s">
        <v>360</v>
      </c>
      <c r="D4" s="3" t="s">
        <v>144</v>
      </c>
      <c r="E4" s="3" t="s">
        <v>225</v>
      </c>
      <c r="F4" s="3" t="s">
        <v>225</v>
      </c>
      <c r="G4" s="3">
        <v>11</v>
      </c>
      <c r="H4" s="3">
        <v>12</v>
      </c>
      <c r="I4" s="3" t="s">
        <v>38</v>
      </c>
      <c r="J4" s="3">
        <v>2392043206</v>
      </c>
      <c r="K4" s="4" t="s">
        <v>361</v>
      </c>
      <c r="L4" s="4" t="s">
        <v>362</v>
      </c>
      <c r="M4" s="3">
        <v>57500</v>
      </c>
      <c r="N4" s="3" t="str">
        <f>"40.422160"</f>
        <v>40.422160</v>
      </c>
      <c r="O4" s="3" t="str">
        <f>"22.922809"</f>
        <v>22.922809</v>
      </c>
      <c r="P4" s="3" t="s">
        <v>23</v>
      </c>
    </row>
    <row r="5" spans="1:16">
      <c r="A5" s="5" t="s">
        <v>33</v>
      </c>
      <c r="B5" s="5" t="str">
        <f>"9521620"</f>
        <v>9521620</v>
      </c>
      <c r="C5" s="6" t="s">
        <v>953</v>
      </c>
      <c r="D5" s="5" t="s">
        <v>144</v>
      </c>
      <c r="E5" s="5" t="s">
        <v>225</v>
      </c>
      <c r="F5" s="5" t="s">
        <v>225</v>
      </c>
      <c r="G5" s="5">
        <v>6</v>
      </c>
      <c r="H5" s="5">
        <v>6</v>
      </c>
      <c r="I5" s="5" t="s">
        <v>38</v>
      </c>
      <c r="J5" s="6" t="s">
        <v>56</v>
      </c>
      <c r="K5" s="6" t="s">
        <v>56</v>
      </c>
      <c r="L5" s="6" t="s">
        <v>937</v>
      </c>
      <c r="M5" s="6" t="s">
        <v>56</v>
      </c>
      <c r="N5" s="6" t="s">
        <v>56</v>
      </c>
      <c r="O5" s="6" t="s">
        <v>56</v>
      </c>
      <c r="P5" s="5" t="s">
        <v>24</v>
      </c>
    </row>
    <row r="6" spans="1:16">
      <c r="A6" s="3" t="s">
        <v>33</v>
      </c>
      <c r="B6" s="3" t="str">
        <f>"9520672"</f>
        <v>9520672</v>
      </c>
      <c r="C6" s="4" t="s">
        <v>915</v>
      </c>
      <c r="D6" s="3" t="s">
        <v>144</v>
      </c>
      <c r="E6" s="3" t="s">
        <v>225</v>
      </c>
      <c r="F6" s="3" t="s">
        <v>506</v>
      </c>
      <c r="G6" s="3">
        <v>6</v>
      </c>
      <c r="H6" s="3">
        <v>6</v>
      </c>
      <c r="I6" s="3" t="s">
        <v>38</v>
      </c>
      <c r="J6" s="3">
        <v>2392091988</v>
      </c>
      <c r="K6" s="4" t="s">
        <v>916</v>
      </c>
      <c r="L6" s="4" t="s">
        <v>509</v>
      </c>
      <c r="M6" s="3">
        <v>57500</v>
      </c>
      <c r="N6" s="3" t="str">
        <f>"40.413578"</f>
        <v>40.413578</v>
      </c>
      <c r="O6" s="3" t="str">
        <f>"23.007634"</f>
        <v>23.007634</v>
      </c>
      <c r="P6" s="3" t="s">
        <v>23</v>
      </c>
    </row>
    <row r="7" spans="1:16">
      <c r="A7" s="3" t="s">
        <v>33</v>
      </c>
      <c r="B7" s="3" t="str">
        <f>"9190336"</f>
        <v>9190336</v>
      </c>
      <c r="C7" s="4" t="s">
        <v>762</v>
      </c>
      <c r="D7" s="3" t="s">
        <v>144</v>
      </c>
      <c r="E7" s="3" t="s">
        <v>144</v>
      </c>
      <c r="F7" s="3" t="s">
        <v>761</v>
      </c>
      <c r="G7" s="3">
        <v>6</v>
      </c>
      <c r="H7" s="3">
        <v>6</v>
      </c>
      <c r="I7" s="3" t="s">
        <v>38</v>
      </c>
      <c r="J7" s="3">
        <v>2392051302</v>
      </c>
      <c r="K7" s="4" t="s">
        <v>763</v>
      </c>
      <c r="L7" s="4" t="s">
        <v>764</v>
      </c>
      <c r="M7" s="3">
        <v>57019</v>
      </c>
      <c r="N7" s="3" t="str">
        <f>"40.500173"</f>
        <v>40.500173</v>
      </c>
      <c r="O7" s="3" t="str">
        <f>"22.878043"</f>
        <v>22.878043</v>
      </c>
      <c r="P7" s="3" t="s">
        <v>23</v>
      </c>
    </row>
    <row r="8" spans="1:16">
      <c r="A8" s="5" t="s">
        <v>33</v>
      </c>
      <c r="B8" s="5" t="str">
        <f>"9521624"</f>
        <v>9521624</v>
      </c>
      <c r="C8" s="6" t="s">
        <v>951</v>
      </c>
      <c r="D8" s="5" t="s">
        <v>144</v>
      </c>
      <c r="E8" s="5" t="s">
        <v>144</v>
      </c>
      <c r="F8" s="5" t="s">
        <v>469</v>
      </c>
      <c r="G8" s="5">
        <v>6</v>
      </c>
      <c r="H8" s="5">
        <v>6</v>
      </c>
      <c r="I8" s="5" t="s">
        <v>38</v>
      </c>
      <c r="J8" s="6" t="s">
        <v>56</v>
      </c>
      <c r="K8" s="6" t="s">
        <v>56</v>
      </c>
      <c r="L8" s="6" t="s">
        <v>937</v>
      </c>
      <c r="M8" s="6" t="s">
        <v>56</v>
      </c>
      <c r="N8" s="6" t="s">
        <v>56</v>
      </c>
      <c r="O8" s="6" t="s">
        <v>56</v>
      </c>
      <c r="P8" s="5" t="s">
        <v>24</v>
      </c>
    </row>
    <row r="9" spans="1:16">
      <c r="A9" s="3" t="s">
        <v>33</v>
      </c>
      <c r="B9" s="3" t="str">
        <f>"9190366"</f>
        <v>9190366</v>
      </c>
      <c r="C9" s="4" t="s">
        <v>582</v>
      </c>
      <c r="D9" s="3" t="s">
        <v>144</v>
      </c>
      <c r="E9" s="3" t="s">
        <v>144</v>
      </c>
      <c r="F9" s="3" t="s">
        <v>469</v>
      </c>
      <c r="G9" s="3">
        <v>12</v>
      </c>
      <c r="H9" s="3">
        <v>12</v>
      </c>
      <c r="I9" s="3" t="s">
        <v>38</v>
      </c>
      <c r="J9" s="3">
        <v>2392023133</v>
      </c>
      <c r="K9" s="4" t="s">
        <v>583</v>
      </c>
      <c r="L9" s="4" t="s">
        <v>584</v>
      </c>
      <c r="M9" s="3">
        <v>57019</v>
      </c>
      <c r="N9" s="3" t="str">
        <f>"40.500993"</f>
        <v>40.500993</v>
      </c>
      <c r="O9" s="3" t="str">
        <f>"22.911215"</f>
        <v>22.911215</v>
      </c>
      <c r="P9" s="3" t="s">
        <v>23</v>
      </c>
    </row>
    <row r="10" spans="1:16">
      <c r="A10" s="3" t="s">
        <v>33</v>
      </c>
      <c r="B10" s="3" t="str">
        <f>"9190370"</f>
        <v>9190370</v>
      </c>
      <c r="C10" s="4" t="s">
        <v>146</v>
      </c>
      <c r="D10" s="3" t="s">
        <v>144</v>
      </c>
      <c r="E10" s="3" t="s">
        <v>144</v>
      </c>
      <c r="F10" s="3" t="s">
        <v>145</v>
      </c>
      <c r="G10" s="3">
        <v>11</v>
      </c>
      <c r="H10" s="3">
        <v>12</v>
      </c>
      <c r="I10" s="3" t="s">
        <v>38</v>
      </c>
      <c r="J10" s="3">
        <v>2392022544</v>
      </c>
      <c r="K10" s="4" t="s">
        <v>147</v>
      </c>
      <c r="L10" s="4" t="s">
        <v>148</v>
      </c>
      <c r="M10" s="3">
        <v>57019</v>
      </c>
      <c r="N10" s="3" t="str">
        <f>"40.501771"</f>
        <v>40.501771</v>
      </c>
      <c r="O10" s="3" t="str">
        <f>"22.926644"</f>
        <v>22.926644</v>
      </c>
      <c r="P10" s="3" t="s">
        <v>23</v>
      </c>
    </row>
    <row r="11" spans="1:16">
      <c r="A11" s="3" t="s">
        <v>33</v>
      </c>
      <c r="B11" s="3" t="str">
        <f>"9190908"</f>
        <v>9190908</v>
      </c>
      <c r="C11" s="4" t="s">
        <v>790</v>
      </c>
      <c r="D11" s="3" t="s">
        <v>144</v>
      </c>
      <c r="E11" s="3" t="s">
        <v>144</v>
      </c>
      <c r="F11" s="3" t="s">
        <v>145</v>
      </c>
      <c r="G11" s="3">
        <v>8</v>
      </c>
      <c r="H11" s="3">
        <v>12</v>
      </c>
      <c r="I11" s="3" t="s">
        <v>38</v>
      </c>
      <c r="J11" s="3">
        <v>2392027870</v>
      </c>
      <c r="K11" s="4" t="s">
        <v>791</v>
      </c>
      <c r="L11" s="4" t="s">
        <v>792</v>
      </c>
      <c r="M11" s="3">
        <v>57019</v>
      </c>
      <c r="N11" s="3" t="str">
        <f>"40.495885"</f>
        <v>40.495885</v>
      </c>
      <c r="O11" s="3" t="str">
        <f>"22.928484"</f>
        <v>22.928484</v>
      </c>
      <c r="P11" s="3" t="s">
        <v>23</v>
      </c>
    </row>
    <row r="12" spans="1:16">
      <c r="A12" s="3" t="s">
        <v>33</v>
      </c>
      <c r="B12" s="3" t="str">
        <f>"9520622"</f>
        <v>9520622</v>
      </c>
      <c r="C12" s="4" t="s">
        <v>793</v>
      </c>
      <c r="D12" s="3" t="s">
        <v>144</v>
      </c>
      <c r="E12" s="3" t="s">
        <v>144</v>
      </c>
      <c r="F12" s="3" t="s">
        <v>145</v>
      </c>
      <c r="G12" s="3">
        <v>12</v>
      </c>
      <c r="H12" s="3">
        <v>11</v>
      </c>
      <c r="I12" s="3" t="s">
        <v>38</v>
      </c>
      <c r="J12" s="3">
        <v>2392028986</v>
      </c>
      <c r="K12" s="4" t="s">
        <v>794</v>
      </c>
      <c r="L12" s="4" t="s">
        <v>795</v>
      </c>
      <c r="M12" s="3">
        <v>57019</v>
      </c>
      <c r="N12" s="3" t="str">
        <f>"40.506503"</f>
        <v>40.506503</v>
      </c>
      <c r="O12" s="3" t="str">
        <f>"22.923659"</f>
        <v>22.923659</v>
      </c>
      <c r="P12" s="3" t="s">
        <v>23</v>
      </c>
    </row>
    <row r="13" spans="1:16">
      <c r="A13" s="3" t="s">
        <v>33</v>
      </c>
      <c r="B13" s="3" t="str">
        <f>"9520745"</f>
        <v>9520745</v>
      </c>
      <c r="C13" s="4" t="s">
        <v>796</v>
      </c>
      <c r="D13" s="3" t="s">
        <v>144</v>
      </c>
      <c r="E13" s="3" t="s">
        <v>144</v>
      </c>
      <c r="F13" s="3" t="s">
        <v>145</v>
      </c>
      <c r="G13" s="3">
        <v>11</v>
      </c>
      <c r="H13" s="3">
        <v>12</v>
      </c>
      <c r="I13" s="3" t="s">
        <v>38</v>
      </c>
      <c r="J13" s="3">
        <v>2392306761</v>
      </c>
      <c r="K13" s="4" t="s">
        <v>797</v>
      </c>
      <c r="L13" s="4" t="s">
        <v>798</v>
      </c>
      <c r="M13" s="3">
        <v>57019</v>
      </c>
      <c r="N13" s="3" t="str">
        <f>"40.507922"</f>
        <v>40.507922</v>
      </c>
      <c r="O13" s="3" t="str">
        <f>"22.929166"</f>
        <v>22.929166</v>
      </c>
      <c r="P13" s="3" t="s">
        <v>23</v>
      </c>
    </row>
    <row r="14" spans="1:16">
      <c r="A14" s="3" t="s">
        <v>33</v>
      </c>
      <c r="B14" s="3" t="str">
        <f>"9521318"</f>
        <v>9521318</v>
      </c>
      <c r="C14" s="4" t="s">
        <v>893</v>
      </c>
      <c r="D14" s="3" t="s">
        <v>144</v>
      </c>
      <c r="E14" s="3" t="s">
        <v>144</v>
      </c>
      <c r="F14" s="3" t="s">
        <v>145</v>
      </c>
      <c r="G14" s="3">
        <v>12</v>
      </c>
      <c r="H14" s="3">
        <v>12</v>
      </c>
      <c r="I14" s="3" t="s">
        <v>38</v>
      </c>
      <c r="J14" s="3">
        <v>2392307167</v>
      </c>
      <c r="K14" s="4" t="s">
        <v>894</v>
      </c>
      <c r="L14" s="4" t="s">
        <v>895</v>
      </c>
      <c r="M14" s="3">
        <v>57019</v>
      </c>
      <c r="N14" s="3" t="str">
        <f>"40.506117"</f>
        <v>40.506117</v>
      </c>
      <c r="O14" s="3" t="str">
        <f>"22.935914"</f>
        <v>22.935914</v>
      </c>
      <c r="P14" s="3" t="s">
        <v>23</v>
      </c>
    </row>
    <row r="15" spans="1:16">
      <c r="A15" s="3" t="s">
        <v>33</v>
      </c>
      <c r="B15" s="3" t="str">
        <f>"9190333"</f>
        <v>9190333</v>
      </c>
      <c r="C15" s="4" t="s">
        <v>781</v>
      </c>
      <c r="D15" s="3" t="s">
        <v>144</v>
      </c>
      <c r="E15" s="3" t="s">
        <v>323</v>
      </c>
      <c r="F15" s="3" t="s">
        <v>757</v>
      </c>
      <c r="G15" s="3">
        <v>6</v>
      </c>
      <c r="H15" s="3">
        <v>6</v>
      </c>
      <c r="I15" s="3" t="s">
        <v>38</v>
      </c>
      <c r="J15" s="3">
        <v>2392057011</v>
      </c>
      <c r="K15" s="4" t="s">
        <v>782</v>
      </c>
      <c r="L15" s="4" t="s">
        <v>783</v>
      </c>
      <c r="M15" s="3">
        <v>57004</v>
      </c>
      <c r="N15" s="3" t="str">
        <f>"40.497790"</f>
        <v>40.497790</v>
      </c>
      <c r="O15" s="3" t="str">
        <f>"22.833957"</f>
        <v>22.833957</v>
      </c>
      <c r="P15" s="3" t="s">
        <v>23</v>
      </c>
    </row>
    <row r="16" spans="1:16">
      <c r="A16" s="3" t="s">
        <v>33</v>
      </c>
      <c r="B16" s="3" t="str">
        <f>"9190345"</f>
        <v>9190345</v>
      </c>
      <c r="C16" s="4" t="s">
        <v>947</v>
      </c>
      <c r="D16" s="3" t="s">
        <v>144</v>
      </c>
      <c r="E16" s="3" t="s">
        <v>323</v>
      </c>
      <c r="F16" s="3" t="s">
        <v>324</v>
      </c>
      <c r="G16" s="3">
        <v>6</v>
      </c>
      <c r="H16" s="3">
        <v>6</v>
      </c>
      <c r="I16" s="3" t="s">
        <v>38</v>
      </c>
      <c r="J16" s="3">
        <v>2392031008</v>
      </c>
      <c r="K16" s="4" t="s">
        <v>948</v>
      </c>
      <c r="L16" s="4" t="s">
        <v>949</v>
      </c>
      <c r="M16" s="3">
        <v>57004</v>
      </c>
      <c r="N16" s="3" t="str">
        <f>"40.475224"</f>
        <v>40.475224</v>
      </c>
      <c r="O16" s="3" t="str">
        <f>"22.867159"</f>
        <v>22.867159</v>
      </c>
      <c r="P16" s="3" t="s">
        <v>23</v>
      </c>
    </row>
    <row r="17" spans="1:16">
      <c r="A17" s="3" t="s">
        <v>33</v>
      </c>
      <c r="B17" s="3" t="str">
        <f>"9521698"</f>
        <v>9521698</v>
      </c>
      <c r="C17" s="4" t="s">
        <v>962</v>
      </c>
      <c r="D17" s="3" t="s">
        <v>144</v>
      </c>
      <c r="E17" s="3" t="s">
        <v>323</v>
      </c>
      <c r="F17" s="3" t="s">
        <v>324</v>
      </c>
      <c r="G17" s="3">
        <v>5</v>
      </c>
      <c r="H17" s="3">
        <v>4</v>
      </c>
      <c r="I17" s="3" t="s">
        <v>38</v>
      </c>
      <c r="J17" s="3">
        <v>2392306818</v>
      </c>
      <c r="K17" s="4" t="s">
        <v>963</v>
      </c>
      <c r="L17" s="4" t="s">
        <v>964</v>
      </c>
      <c r="M17" s="3">
        <v>57004</v>
      </c>
      <c r="N17" s="3" t="str">
        <f>"40.475681"</f>
        <v>40.475681</v>
      </c>
      <c r="O17" s="3" t="str">
        <f>"22.867073"</f>
        <v>22.867073</v>
      </c>
      <c r="P17" s="3" t="s">
        <v>23</v>
      </c>
    </row>
    <row r="18" spans="1:16">
      <c r="A18" s="3" t="s">
        <v>33</v>
      </c>
      <c r="B18" s="3" t="str">
        <f>"9190362"</f>
        <v>9190362</v>
      </c>
      <c r="C18" s="4" t="s">
        <v>765</v>
      </c>
      <c r="D18" s="3" t="s">
        <v>144</v>
      </c>
      <c r="E18" s="3" t="s">
        <v>323</v>
      </c>
      <c r="F18" s="3" t="s">
        <v>405</v>
      </c>
      <c r="G18" s="3">
        <v>12</v>
      </c>
      <c r="H18" s="3">
        <v>12</v>
      </c>
      <c r="I18" s="3" t="s">
        <v>38</v>
      </c>
      <c r="J18" s="3">
        <v>2392031226</v>
      </c>
      <c r="K18" s="4" t="s">
        <v>766</v>
      </c>
      <c r="L18" s="4" t="s">
        <v>767</v>
      </c>
      <c r="M18" s="3">
        <v>57004</v>
      </c>
      <c r="N18" s="3" t="str">
        <f>"40.467951"</f>
        <v>40.467951</v>
      </c>
      <c r="O18" s="3" t="str">
        <f>"22.858589"</f>
        <v>22.858589</v>
      </c>
      <c r="P18" s="3" t="s">
        <v>23</v>
      </c>
    </row>
    <row r="19" spans="1:16">
      <c r="A19" s="3" t="s">
        <v>33</v>
      </c>
      <c r="B19" s="3" t="str">
        <f>"9190363"</f>
        <v>9190363</v>
      </c>
      <c r="C19" s="4" t="s">
        <v>645</v>
      </c>
      <c r="D19" s="3" t="s">
        <v>144</v>
      </c>
      <c r="E19" s="3" t="s">
        <v>323</v>
      </c>
      <c r="F19" s="3" t="s">
        <v>405</v>
      </c>
      <c r="G19" s="3">
        <v>12</v>
      </c>
      <c r="H19" s="3">
        <v>12</v>
      </c>
      <c r="I19" s="3" t="s">
        <v>38</v>
      </c>
      <c r="J19" s="3">
        <v>2392031238</v>
      </c>
      <c r="K19" s="4" t="s">
        <v>646</v>
      </c>
      <c r="L19" s="4" t="s">
        <v>647</v>
      </c>
      <c r="M19" s="3">
        <v>57004</v>
      </c>
      <c r="N19" s="3" t="str">
        <f>"40.463184"</f>
        <v>40.463184</v>
      </c>
      <c r="O19" s="3" t="str">
        <f>"22.866662"</f>
        <v>22.866662</v>
      </c>
      <c r="P19" s="3" t="s">
        <v>23</v>
      </c>
    </row>
    <row r="20" spans="1:16">
      <c r="A20" s="5" t="s">
        <v>33</v>
      </c>
      <c r="B20" s="5" t="str">
        <f>"9521623"</f>
        <v>9521623</v>
      </c>
      <c r="C20" s="6" t="s">
        <v>952</v>
      </c>
      <c r="D20" s="5" t="s">
        <v>144</v>
      </c>
      <c r="E20" s="5" t="s">
        <v>323</v>
      </c>
      <c r="F20" s="5" t="s">
        <v>405</v>
      </c>
      <c r="G20" s="5">
        <v>6</v>
      </c>
      <c r="H20" s="5">
        <v>6</v>
      </c>
      <c r="I20" s="5" t="s">
        <v>38</v>
      </c>
      <c r="J20" s="6" t="s">
        <v>56</v>
      </c>
      <c r="K20" s="6" t="s">
        <v>56</v>
      </c>
      <c r="L20" s="6" t="s">
        <v>937</v>
      </c>
      <c r="M20" s="6" t="s">
        <v>56</v>
      </c>
      <c r="N20" s="6" t="s">
        <v>56</v>
      </c>
      <c r="O20" s="6" t="s">
        <v>56</v>
      </c>
      <c r="P20" s="5" t="s">
        <v>24</v>
      </c>
    </row>
    <row r="21" spans="1:16">
      <c r="A21" s="3" t="s">
        <v>33</v>
      </c>
      <c r="B21" s="3" t="str">
        <f>"9190931"</f>
        <v>9190931</v>
      </c>
      <c r="C21" s="4" t="s">
        <v>778</v>
      </c>
      <c r="D21" s="3" t="s">
        <v>39</v>
      </c>
      <c r="E21" s="3" t="s">
        <v>258</v>
      </c>
      <c r="F21" s="3" t="s">
        <v>777</v>
      </c>
      <c r="G21" s="3">
        <v>12</v>
      </c>
      <c r="H21" s="3">
        <v>12</v>
      </c>
      <c r="I21" s="3" t="s">
        <v>38</v>
      </c>
      <c r="J21" s="3">
        <v>2396041374</v>
      </c>
      <c r="K21" s="4" t="s">
        <v>779</v>
      </c>
      <c r="L21" s="4" t="s">
        <v>780</v>
      </c>
      <c r="M21" s="3">
        <v>57001</v>
      </c>
      <c r="N21" s="3" t="str">
        <f>"40.483729"</f>
        <v>40.483729</v>
      </c>
      <c r="O21" s="3" t="str">
        <f>"23.051305"</f>
        <v>23.051305</v>
      </c>
      <c r="P21" s="3" t="s">
        <v>23</v>
      </c>
    </row>
    <row r="22" spans="1:16">
      <c r="A22" s="3" t="s">
        <v>33</v>
      </c>
      <c r="B22" s="3" t="str">
        <f>"9190338"</f>
        <v>9190338</v>
      </c>
      <c r="C22" s="4" t="s">
        <v>787</v>
      </c>
      <c r="D22" s="3" t="s">
        <v>39</v>
      </c>
      <c r="E22" s="3" t="s">
        <v>258</v>
      </c>
      <c r="F22" s="3" t="s">
        <v>476</v>
      </c>
      <c r="G22" s="3">
        <v>6</v>
      </c>
      <c r="H22" s="3">
        <v>6</v>
      </c>
      <c r="I22" s="3" t="s">
        <v>38</v>
      </c>
      <c r="J22" s="3">
        <v>2396041394</v>
      </c>
      <c r="K22" s="4" t="s">
        <v>788</v>
      </c>
      <c r="L22" s="4" t="s">
        <v>789</v>
      </c>
      <c r="M22" s="3">
        <v>57006</v>
      </c>
      <c r="N22" s="3" t="str">
        <f>"40.432965"</f>
        <v>40.432965</v>
      </c>
      <c r="O22" s="3" t="str">
        <f>"23.093687"</f>
        <v>23.093687</v>
      </c>
      <c r="P22" s="3" t="s">
        <v>23</v>
      </c>
    </row>
    <row r="23" spans="1:16">
      <c r="A23" s="5" t="s">
        <v>33</v>
      </c>
      <c r="B23" s="5" t="str">
        <f>"9521621"</f>
        <v>9521621</v>
      </c>
      <c r="C23" s="6" t="s">
        <v>957</v>
      </c>
      <c r="D23" s="5" t="s">
        <v>39</v>
      </c>
      <c r="E23" s="5" t="s">
        <v>258</v>
      </c>
      <c r="F23" s="5" t="s">
        <v>258</v>
      </c>
      <c r="G23" s="5">
        <v>6</v>
      </c>
      <c r="H23" s="5">
        <v>6</v>
      </c>
      <c r="I23" s="5" t="s">
        <v>38</v>
      </c>
      <c r="J23" s="6" t="s">
        <v>56</v>
      </c>
      <c r="K23" s="6" t="s">
        <v>56</v>
      </c>
      <c r="L23" s="6" t="s">
        <v>937</v>
      </c>
      <c r="M23" s="6" t="s">
        <v>56</v>
      </c>
      <c r="N23" s="6" t="s">
        <v>56</v>
      </c>
      <c r="O23" s="6" t="s">
        <v>56</v>
      </c>
      <c r="P23" s="5" t="s">
        <v>24</v>
      </c>
    </row>
    <row r="24" spans="1:16">
      <c r="A24" s="3" t="s">
        <v>33</v>
      </c>
      <c r="B24" s="3" t="str">
        <f>"9190343"</f>
        <v>9190343</v>
      </c>
      <c r="C24" s="4" t="s">
        <v>913</v>
      </c>
      <c r="D24" s="3" t="s">
        <v>39</v>
      </c>
      <c r="E24" s="3" t="s">
        <v>258</v>
      </c>
      <c r="F24" s="3" t="s">
        <v>258</v>
      </c>
      <c r="G24" s="3">
        <v>12</v>
      </c>
      <c r="H24" s="3">
        <v>12</v>
      </c>
      <c r="I24" s="3" t="s">
        <v>38</v>
      </c>
      <c r="J24" s="3">
        <v>2396022225</v>
      </c>
      <c r="K24" s="4" t="s">
        <v>914</v>
      </c>
      <c r="L24" s="4" t="s">
        <v>732</v>
      </c>
      <c r="M24" s="3">
        <v>57006</v>
      </c>
      <c r="N24" s="3" t="str">
        <f>"40.478979"</f>
        <v>40.478979</v>
      </c>
      <c r="O24" s="3" t="str">
        <f>"23.138567"</f>
        <v>23.138567</v>
      </c>
      <c r="P24" s="3" t="s">
        <v>23</v>
      </c>
    </row>
    <row r="25" spans="1:16">
      <c r="A25" s="3" t="s">
        <v>33</v>
      </c>
      <c r="B25" s="3" t="str">
        <f>"9190403"</f>
        <v>9190403</v>
      </c>
      <c r="C25" s="4" t="s">
        <v>775</v>
      </c>
      <c r="D25" s="3" t="s">
        <v>39</v>
      </c>
      <c r="E25" s="3" t="s">
        <v>258</v>
      </c>
      <c r="F25" s="3" t="s">
        <v>456</v>
      </c>
      <c r="G25" s="3">
        <v>3</v>
      </c>
      <c r="H25" s="3">
        <v>2</v>
      </c>
      <c r="I25" s="3" t="s">
        <v>455</v>
      </c>
      <c r="J25" s="3">
        <v>2396051210</v>
      </c>
      <c r="K25" s="4" t="s">
        <v>776</v>
      </c>
      <c r="L25" s="4" t="s">
        <v>459</v>
      </c>
      <c r="M25" s="3">
        <v>57006</v>
      </c>
      <c r="N25" s="3" t="str">
        <f>"40.549890"</f>
        <v>40.549890</v>
      </c>
      <c r="O25" s="3" t="str">
        <f>"23.164584"</f>
        <v>23.164584</v>
      </c>
      <c r="P25" s="3" t="s">
        <v>23</v>
      </c>
    </row>
    <row r="26" spans="1:16">
      <c r="A26" s="5" t="s">
        <v>33</v>
      </c>
      <c r="B26" s="5" t="str">
        <f>"9190372"</f>
        <v>9190372</v>
      </c>
      <c r="C26" s="6" t="s">
        <v>881</v>
      </c>
      <c r="D26" s="5" t="s">
        <v>39</v>
      </c>
      <c r="E26" s="5" t="s">
        <v>258</v>
      </c>
      <c r="F26" s="5" t="s">
        <v>259</v>
      </c>
      <c r="G26" s="5">
        <v>6</v>
      </c>
      <c r="H26" s="5">
        <v>6</v>
      </c>
      <c r="I26" s="5" t="s">
        <v>38</v>
      </c>
      <c r="J26" s="6" t="s">
        <v>56</v>
      </c>
      <c r="K26" s="6" t="s">
        <v>56</v>
      </c>
      <c r="L26" s="6" t="s">
        <v>937</v>
      </c>
      <c r="M26" s="6" t="s">
        <v>56</v>
      </c>
      <c r="N26" s="6" t="s">
        <v>56</v>
      </c>
      <c r="O26" s="6" t="s">
        <v>56</v>
      </c>
      <c r="P26" s="5" t="s">
        <v>24</v>
      </c>
    </row>
    <row r="27" spans="1:16">
      <c r="A27" s="3" t="s">
        <v>33</v>
      </c>
      <c r="B27" s="3" t="str">
        <f>"9190354"</f>
        <v>9190354</v>
      </c>
      <c r="C27" s="4" t="s">
        <v>69</v>
      </c>
      <c r="D27" s="3" t="s">
        <v>39</v>
      </c>
      <c r="E27" s="3" t="s">
        <v>39</v>
      </c>
      <c r="F27" s="3" t="s">
        <v>39</v>
      </c>
      <c r="G27" s="3">
        <v>13</v>
      </c>
      <c r="H27" s="3">
        <v>12</v>
      </c>
      <c r="I27" s="3" t="s">
        <v>16</v>
      </c>
      <c r="J27" s="3">
        <v>2310461221</v>
      </c>
      <c r="K27" s="4" t="s">
        <v>70</v>
      </c>
      <c r="L27" s="4" t="s">
        <v>71</v>
      </c>
      <c r="M27" s="3">
        <v>57001</v>
      </c>
      <c r="N27" s="3" t="str">
        <f>"40.549479"</f>
        <v>40.549479</v>
      </c>
      <c r="O27" s="3" t="str">
        <f>"23.021770"</f>
        <v>23.021770</v>
      </c>
      <c r="P27" s="3" t="s">
        <v>23</v>
      </c>
    </row>
    <row r="28" spans="1:16">
      <c r="A28" s="3" t="s">
        <v>33</v>
      </c>
      <c r="B28" s="3" t="str">
        <f>"9190838"</f>
        <v>9190838</v>
      </c>
      <c r="C28" s="4" t="s">
        <v>357</v>
      </c>
      <c r="D28" s="3" t="s">
        <v>39</v>
      </c>
      <c r="E28" s="3" t="s">
        <v>39</v>
      </c>
      <c r="F28" s="3" t="s">
        <v>39</v>
      </c>
      <c r="G28" s="3">
        <v>13</v>
      </c>
      <c r="H28" s="3">
        <v>13</v>
      </c>
      <c r="I28" s="3" t="s">
        <v>16</v>
      </c>
      <c r="J28" s="3">
        <v>2310463445</v>
      </c>
      <c r="K28" s="4" t="s">
        <v>358</v>
      </c>
      <c r="L28" s="4" t="s">
        <v>359</v>
      </c>
      <c r="M28" s="3">
        <v>57001</v>
      </c>
      <c r="N28" s="3" t="str">
        <f>"40.545623"</f>
        <v>40.545623</v>
      </c>
      <c r="O28" s="3" t="str">
        <f>"23.023113"</f>
        <v>23.023113</v>
      </c>
      <c r="P28" s="3" t="s">
        <v>23</v>
      </c>
    </row>
    <row r="29" spans="1:16">
      <c r="A29" s="3" t="s">
        <v>33</v>
      </c>
      <c r="B29" s="3" t="str">
        <f>"9190909"</f>
        <v>9190909</v>
      </c>
      <c r="C29" s="4" t="s">
        <v>84</v>
      </c>
      <c r="D29" s="3" t="s">
        <v>39</v>
      </c>
      <c r="E29" s="3" t="s">
        <v>39</v>
      </c>
      <c r="F29" s="3" t="s">
        <v>39</v>
      </c>
      <c r="G29" s="3">
        <v>8</v>
      </c>
      <c r="H29" s="3">
        <v>12</v>
      </c>
      <c r="I29" s="3" t="s">
        <v>38</v>
      </c>
      <c r="J29" s="3">
        <v>2310464521</v>
      </c>
      <c r="K29" s="4" t="s">
        <v>85</v>
      </c>
      <c r="L29" s="4" t="s">
        <v>86</v>
      </c>
      <c r="M29" s="3">
        <v>57001</v>
      </c>
      <c r="N29" s="3" t="str">
        <f>"40.547258"</f>
        <v>40.547258</v>
      </c>
      <c r="O29" s="3" t="str">
        <f>"23.049004"</f>
        <v>23.049004</v>
      </c>
      <c r="P29" s="3" t="s">
        <v>23</v>
      </c>
    </row>
    <row r="30" spans="1:16">
      <c r="A30" s="3" t="s">
        <v>33</v>
      </c>
      <c r="B30" s="3" t="str">
        <f>"9190921"</f>
        <v>9190921</v>
      </c>
      <c r="C30" s="4" t="s">
        <v>199</v>
      </c>
      <c r="D30" s="3" t="s">
        <v>39</v>
      </c>
      <c r="E30" s="3" t="s">
        <v>39</v>
      </c>
      <c r="F30" s="3" t="s">
        <v>39</v>
      </c>
      <c r="G30" s="3">
        <v>16</v>
      </c>
      <c r="H30" s="3">
        <v>14</v>
      </c>
      <c r="I30" s="3" t="s">
        <v>16</v>
      </c>
      <c r="J30" s="3">
        <v>2310471161</v>
      </c>
      <c r="K30" s="4" t="s">
        <v>200</v>
      </c>
      <c r="L30" s="4" t="s">
        <v>201</v>
      </c>
      <c r="M30" s="3">
        <v>57001</v>
      </c>
      <c r="N30" s="3" t="str">
        <f>"40.543909"</f>
        <v>40.543909</v>
      </c>
      <c r="O30" s="3" t="str">
        <f>"22.996544"</f>
        <v>22.996544</v>
      </c>
      <c r="P30" s="3" t="s">
        <v>23</v>
      </c>
    </row>
    <row r="31" spans="1:16">
      <c r="A31" s="3" t="s">
        <v>33</v>
      </c>
      <c r="B31" s="3" t="str">
        <f>"9520674"</f>
        <v>9520674</v>
      </c>
      <c r="C31" s="4" t="s">
        <v>910</v>
      </c>
      <c r="D31" s="3" t="s">
        <v>39</v>
      </c>
      <c r="E31" s="3" t="s">
        <v>39</v>
      </c>
      <c r="F31" s="3" t="s">
        <v>39</v>
      </c>
      <c r="G31" s="3">
        <v>10</v>
      </c>
      <c r="H31" s="3">
        <v>10</v>
      </c>
      <c r="I31" s="3" t="s">
        <v>38</v>
      </c>
      <c r="J31" s="3">
        <v>2310460079</v>
      </c>
      <c r="K31" s="4" t="s">
        <v>911</v>
      </c>
      <c r="L31" s="4" t="s">
        <v>912</v>
      </c>
      <c r="M31" s="3">
        <v>57001</v>
      </c>
      <c r="N31" s="3" t="str">
        <f>"40.546595"</f>
        <v>40.546595</v>
      </c>
      <c r="O31" s="3" t="str">
        <f>"23.051635"</f>
        <v>23.051635</v>
      </c>
      <c r="P31" s="3" t="s">
        <v>23</v>
      </c>
    </row>
    <row r="32" spans="1:16">
      <c r="A32" s="5" t="s">
        <v>33</v>
      </c>
      <c r="B32" s="5" t="str">
        <f>"9521670"</f>
        <v>9521670</v>
      </c>
      <c r="C32" s="6" t="s">
        <v>958</v>
      </c>
      <c r="D32" s="5" t="s">
        <v>39</v>
      </c>
      <c r="E32" s="5" t="s">
        <v>39</v>
      </c>
      <c r="F32" s="5" t="s">
        <v>39</v>
      </c>
      <c r="G32" s="5">
        <v>6</v>
      </c>
      <c r="H32" s="5">
        <v>6</v>
      </c>
      <c r="I32" s="5" t="s">
        <v>16</v>
      </c>
      <c r="J32" s="6" t="s">
        <v>56</v>
      </c>
      <c r="K32" s="6" t="s">
        <v>56</v>
      </c>
      <c r="L32" s="6" t="s">
        <v>937</v>
      </c>
      <c r="M32" s="6" t="s">
        <v>56</v>
      </c>
      <c r="N32" s="6" t="s">
        <v>56</v>
      </c>
      <c r="O32" s="6" t="s">
        <v>56</v>
      </c>
      <c r="P32" s="5" t="s">
        <v>24</v>
      </c>
    </row>
    <row r="33" spans="1:16">
      <c r="A33" s="3" t="s">
        <v>33</v>
      </c>
      <c r="B33" s="3" t="str">
        <f>"9190364"</f>
        <v>9190364</v>
      </c>
      <c r="C33" s="4" t="s">
        <v>480</v>
      </c>
      <c r="D33" s="3" t="s">
        <v>39</v>
      </c>
      <c r="E33" s="3" t="s">
        <v>39</v>
      </c>
      <c r="F33" s="3" t="s">
        <v>178</v>
      </c>
      <c r="G33" s="3">
        <v>11</v>
      </c>
      <c r="H33" s="3">
        <v>12</v>
      </c>
      <c r="I33" s="3" t="s">
        <v>38</v>
      </c>
      <c r="J33" s="3">
        <v>2310461061</v>
      </c>
      <c r="K33" s="4" t="s">
        <v>481</v>
      </c>
      <c r="L33" s="4" t="s">
        <v>482</v>
      </c>
      <c r="M33" s="3">
        <v>57001</v>
      </c>
      <c r="N33" s="3" t="str">
        <f>"40.527405"</f>
        <v>40.527405</v>
      </c>
      <c r="O33" s="3" t="str">
        <f>"23.056036"</f>
        <v>23.056036</v>
      </c>
      <c r="P33" s="3" t="s">
        <v>23</v>
      </c>
    </row>
    <row r="34" spans="1:16">
      <c r="A34" s="3" t="s">
        <v>33</v>
      </c>
      <c r="B34" s="3" t="str">
        <f>"9521277"</f>
        <v>9521277</v>
      </c>
      <c r="C34" s="4" t="s">
        <v>875</v>
      </c>
      <c r="D34" s="3" t="s">
        <v>39</v>
      </c>
      <c r="E34" s="3" t="s">
        <v>39</v>
      </c>
      <c r="F34" s="3" t="s">
        <v>178</v>
      </c>
      <c r="G34" s="3">
        <v>6</v>
      </c>
      <c r="H34" s="3">
        <v>10</v>
      </c>
      <c r="I34" s="3" t="s">
        <v>38</v>
      </c>
      <c r="J34" s="3">
        <v>2310365965</v>
      </c>
      <c r="K34" s="4" t="s">
        <v>876</v>
      </c>
      <c r="L34" s="4" t="s">
        <v>877</v>
      </c>
      <c r="M34" s="3">
        <v>57001</v>
      </c>
      <c r="N34" s="3" t="str">
        <f>"40.511354"</f>
        <v>40.511354</v>
      </c>
      <c r="O34" s="3" t="str">
        <f>"23.077955"</f>
        <v>23.077955</v>
      </c>
      <c r="P34" s="3" t="s">
        <v>23</v>
      </c>
    </row>
    <row r="35" spans="1:16">
      <c r="A35" s="3" t="s">
        <v>33</v>
      </c>
      <c r="B35" s="3" t="str">
        <f>"9190365"</f>
        <v>9190365</v>
      </c>
      <c r="C35" s="4" t="s">
        <v>872</v>
      </c>
      <c r="D35" s="3" t="s">
        <v>39</v>
      </c>
      <c r="E35" s="3" t="s">
        <v>39</v>
      </c>
      <c r="F35" s="3" t="s">
        <v>550</v>
      </c>
      <c r="G35" s="3">
        <v>13</v>
      </c>
      <c r="H35" s="3">
        <v>12</v>
      </c>
      <c r="I35" s="3" t="s">
        <v>38</v>
      </c>
      <c r="J35" s="3">
        <v>2392073464</v>
      </c>
      <c r="K35" s="4" t="s">
        <v>873</v>
      </c>
      <c r="L35" s="4" t="s">
        <v>874</v>
      </c>
      <c r="M35" s="3">
        <v>57001</v>
      </c>
      <c r="N35" s="3" t="str">
        <f>"40.493015"</f>
        <v>40.493015</v>
      </c>
      <c r="O35" s="3" t="str">
        <f>"22.989625"</f>
        <v>22.989625</v>
      </c>
      <c r="P35" s="3" t="s">
        <v>23</v>
      </c>
    </row>
    <row r="36" spans="1:16">
      <c r="A36" s="3" t="s">
        <v>33</v>
      </c>
      <c r="B36" s="3" t="str">
        <f>"9190335"</f>
        <v>9190335</v>
      </c>
      <c r="C36" s="4" t="s">
        <v>41</v>
      </c>
      <c r="D36" s="3" t="s">
        <v>39</v>
      </c>
      <c r="E36" s="3" t="s">
        <v>39</v>
      </c>
      <c r="F36" s="3" t="s">
        <v>40</v>
      </c>
      <c r="G36" s="3">
        <v>7</v>
      </c>
      <c r="H36" s="3">
        <v>10</v>
      </c>
      <c r="I36" s="3" t="s">
        <v>38</v>
      </c>
      <c r="J36" s="3">
        <v>2392071211</v>
      </c>
      <c r="K36" s="4" t="s">
        <v>42</v>
      </c>
      <c r="L36" s="4" t="s">
        <v>43</v>
      </c>
      <c r="M36" s="3">
        <v>57001</v>
      </c>
      <c r="N36" s="3" t="str">
        <f>"40.486740"</f>
        <v>40.486740</v>
      </c>
      <c r="O36" s="3" t="str">
        <f>"23.020760"</f>
        <v>23.020760</v>
      </c>
      <c r="P36" s="3" t="s">
        <v>23</v>
      </c>
    </row>
    <row r="37" spans="1:16">
      <c r="A37" s="3" t="s">
        <v>33</v>
      </c>
      <c r="B37" s="3" t="str">
        <f>"9521622"</f>
        <v>9521622</v>
      </c>
      <c r="C37" s="4" t="s">
        <v>954</v>
      </c>
      <c r="D37" s="3" t="s">
        <v>39</v>
      </c>
      <c r="E37" s="3" t="s">
        <v>217</v>
      </c>
      <c r="F37" s="3" t="s">
        <v>218</v>
      </c>
      <c r="G37" s="3">
        <v>6</v>
      </c>
      <c r="H37" s="3">
        <v>6</v>
      </c>
      <c r="I37" s="3" t="s">
        <v>38</v>
      </c>
      <c r="J37" s="3">
        <v>2392066435</v>
      </c>
      <c r="K37" s="4" t="s">
        <v>955</v>
      </c>
      <c r="L37" s="4" t="s">
        <v>956</v>
      </c>
      <c r="M37" s="3">
        <v>57500</v>
      </c>
      <c r="N37" s="3" t="str">
        <f>"40.466210"</f>
        <v>40.466210</v>
      </c>
      <c r="O37" s="3" t="str">
        <f>"22.994483"</f>
        <v>22.994483</v>
      </c>
      <c r="P37" s="3" t="s">
        <v>23</v>
      </c>
    </row>
    <row r="38" spans="1:16">
      <c r="A38" s="3" t="s">
        <v>33</v>
      </c>
      <c r="B38" s="3" t="str">
        <f>"9190356"</f>
        <v>9190356</v>
      </c>
      <c r="C38" s="4" t="s">
        <v>243</v>
      </c>
      <c r="D38" s="3" t="s">
        <v>39</v>
      </c>
      <c r="E38" s="3" t="s">
        <v>217</v>
      </c>
      <c r="F38" s="3" t="s">
        <v>218</v>
      </c>
      <c r="G38" s="3">
        <v>6</v>
      </c>
      <c r="H38" s="3">
        <v>6</v>
      </c>
      <c r="I38" s="3" t="s">
        <v>38</v>
      </c>
      <c r="J38" s="3">
        <v>2392061414</v>
      </c>
      <c r="K38" s="4" t="s">
        <v>244</v>
      </c>
      <c r="L38" s="4" t="s">
        <v>245</v>
      </c>
      <c r="M38" s="3">
        <v>57500</v>
      </c>
      <c r="N38" s="3" t="str">
        <f>"40.468953"</f>
        <v>40.468953</v>
      </c>
      <c r="O38" s="3" t="str">
        <f>"22.994371"</f>
        <v>22.994371</v>
      </c>
      <c r="P38" s="3" t="s">
        <v>23</v>
      </c>
    </row>
    <row r="39" spans="1:16">
      <c r="A39" s="3" t="s">
        <v>33</v>
      </c>
      <c r="B39" s="3" t="str">
        <f>"9190357"</f>
        <v>9190357</v>
      </c>
      <c r="C39" s="4" t="s">
        <v>649</v>
      </c>
      <c r="D39" s="3" t="s">
        <v>39</v>
      </c>
      <c r="E39" s="3" t="s">
        <v>217</v>
      </c>
      <c r="F39" s="3" t="s">
        <v>648</v>
      </c>
      <c r="G39" s="3">
        <v>7</v>
      </c>
      <c r="H39" s="3">
        <v>6</v>
      </c>
      <c r="I39" s="3" t="s">
        <v>38</v>
      </c>
      <c r="J39" s="3">
        <v>2392091989</v>
      </c>
      <c r="K39" s="4" t="s">
        <v>650</v>
      </c>
      <c r="L39" s="4" t="s">
        <v>652</v>
      </c>
      <c r="M39" s="3">
        <v>57500</v>
      </c>
      <c r="N39" s="3" t="str">
        <f>"40.428792"</f>
        <v>40.428792</v>
      </c>
      <c r="O39" s="3" t="str">
        <f>"23.029824"</f>
        <v>23.029824</v>
      </c>
      <c r="P39" s="3" t="s">
        <v>23</v>
      </c>
    </row>
    <row r="40" spans="1:16">
      <c r="A40" s="3" t="s">
        <v>33</v>
      </c>
      <c r="B40" s="3" t="str">
        <f>"9190371"</f>
        <v>9190371</v>
      </c>
      <c r="C40" s="4" t="s">
        <v>784</v>
      </c>
      <c r="D40" s="3" t="s">
        <v>39</v>
      </c>
      <c r="E40" s="3" t="s">
        <v>217</v>
      </c>
      <c r="F40" s="3" t="s">
        <v>567</v>
      </c>
      <c r="G40" s="3">
        <v>10</v>
      </c>
      <c r="H40" s="3">
        <v>12</v>
      </c>
      <c r="I40" s="3" t="s">
        <v>38</v>
      </c>
      <c r="J40" s="3">
        <v>2392061238</v>
      </c>
      <c r="K40" s="4" t="s">
        <v>785</v>
      </c>
      <c r="L40" s="4" t="s">
        <v>786</v>
      </c>
      <c r="M40" s="3">
        <v>57500</v>
      </c>
      <c r="N40" s="3" t="str">
        <f>"40.472538"</f>
        <v>40.472538</v>
      </c>
      <c r="O40" s="3" t="str">
        <f>"22.955697"</f>
        <v>22.955697</v>
      </c>
      <c r="P40" s="3" t="s">
        <v>23</v>
      </c>
    </row>
    <row r="41" spans="1:16">
      <c r="A41" s="3" t="s">
        <v>33</v>
      </c>
      <c r="B41" s="3" t="str">
        <f>"9521319"</f>
        <v>9521319</v>
      </c>
      <c r="C41" s="4" t="s">
        <v>917</v>
      </c>
      <c r="D41" s="3" t="s">
        <v>39</v>
      </c>
      <c r="E41" s="3" t="s">
        <v>217</v>
      </c>
      <c r="F41" s="3" t="s">
        <v>567</v>
      </c>
      <c r="G41" s="3">
        <v>6</v>
      </c>
      <c r="H41" s="3">
        <v>6</v>
      </c>
      <c r="I41" s="3" t="s">
        <v>38</v>
      </c>
      <c r="J41" s="3">
        <v>2392306871</v>
      </c>
      <c r="K41" s="4" t="s">
        <v>918</v>
      </c>
      <c r="L41" s="4" t="s">
        <v>919</v>
      </c>
      <c r="M41" s="3">
        <v>57500</v>
      </c>
      <c r="N41" s="3" t="str">
        <f>"40.474996"</f>
        <v>40.474996</v>
      </c>
      <c r="O41" s="3" t="str">
        <f>"22.958786"</f>
        <v>22.958786</v>
      </c>
      <c r="P41" s="3" t="s">
        <v>23</v>
      </c>
    </row>
    <row r="42" spans="1:16">
      <c r="A42" s="3" t="s">
        <v>33</v>
      </c>
      <c r="B42" s="3" t="str">
        <f>"9190375"</f>
        <v>9190375</v>
      </c>
      <c r="C42" s="4" t="s">
        <v>920</v>
      </c>
      <c r="D42" s="3" t="s">
        <v>39</v>
      </c>
      <c r="E42" s="3" t="s">
        <v>217</v>
      </c>
      <c r="F42" s="3" t="s">
        <v>560</v>
      </c>
      <c r="G42" s="3">
        <v>10</v>
      </c>
      <c r="H42" s="3">
        <v>12</v>
      </c>
      <c r="I42" s="3" t="s">
        <v>38</v>
      </c>
      <c r="J42" s="3">
        <v>2392061231</v>
      </c>
      <c r="K42" s="4" t="s">
        <v>921</v>
      </c>
      <c r="L42" s="4" t="s">
        <v>563</v>
      </c>
      <c r="M42" s="3">
        <v>57500</v>
      </c>
      <c r="N42" s="3" t="str">
        <f>"40.473597"</f>
        <v>40.473597</v>
      </c>
      <c r="O42" s="3" t="str">
        <f>"22.969850"</f>
        <v>22.969850</v>
      </c>
      <c r="P42" s="3" t="s">
        <v>23</v>
      </c>
    </row>
    <row r="43" spans="1:16">
      <c r="A43" s="3" t="s">
        <v>33</v>
      </c>
      <c r="B43" s="3" t="str">
        <f>"9521094"</f>
        <v>9521094</v>
      </c>
      <c r="C43" s="4" t="s">
        <v>878</v>
      </c>
      <c r="D43" s="3" t="s">
        <v>39</v>
      </c>
      <c r="E43" s="3" t="s">
        <v>217</v>
      </c>
      <c r="F43" s="3" t="s">
        <v>560</v>
      </c>
      <c r="G43" s="3">
        <v>10</v>
      </c>
      <c r="H43" s="3">
        <v>11</v>
      </c>
      <c r="I43" s="3" t="s">
        <v>38</v>
      </c>
      <c r="J43" s="3">
        <v>2392063787</v>
      </c>
      <c r="K43" s="4" t="s">
        <v>879</v>
      </c>
      <c r="L43" s="4" t="s">
        <v>880</v>
      </c>
      <c r="M43" s="3">
        <v>57500</v>
      </c>
      <c r="N43" s="3" t="str">
        <f>"40.466626"</f>
        <v>40.466626</v>
      </c>
      <c r="O43" s="3" t="str">
        <f>"22.964708"</f>
        <v>22.964708</v>
      </c>
      <c r="P43" s="3" t="s">
        <v>23</v>
      </c>
    </row>
    <row r="44" spans="1:16">
      <c r="A44" s="3" t="s">
        <v>33</v>
      </c>
      <c r="B44" s="3" t="str">
        <f>"9190878"</f>
        <v>9190878</v>
      </c>
      <c r="C44" s="4" t="s">
        <v>229</v>
      </c>
      <c r="D44" s="3" t="s">
        <v>17</v>
      </c>
      <c r="E44" s="3" t="s">
        <v>17</v>
      </c>
      <c r="F44" s="3" t="s">
        <v>55</v>
      </c>
      <c r="G44" s="3">
        <v>2</v>
      </c>
      <c r="H44" s="3">
        <v>2</v>
      </c>
      <c r="I44" s="3" t="s">
        <v>16</v>
      </c>
      <c r="J44" s="3">
        <v>2310211372</v>
      </c>
      <c r="K44" s="4" t="s">
        <v>230</v>
      </c>
      <c r="L44" s="4" t="s">
        <v>231</v>
      </c>
      <c r="M44" s="3">
        <v>54635</v>
      </c>
      <c r="N44" s="3" t="str">
        <f>"40.633603"</f>
        <v>40.633603</v>
      </c>
      <c r="O44" s="3" t="str">
        <f>"22.955270"</f>
        <v>22.955270</v>
      </c>
      <c r="P44" s="3" t="s">
        <v>23</v>
      </c>
    </row>
    <row r="45" spans="1:16">
      <c r="A45" s="3" t="s">
        <v>33</v>
      </c>
      <c r="B45" s="3" t="str">
        <f>"9190879"</f>
        <v>9190879</v>
      </c>
      <c r="C45" s="4" t="s">
        <v>595</v>
      </c>
      <c r="D45" s="3" t="s">
        <v>17</v>
      </c>
      <c r="E45" s="3" t="s">
        <v>17</v>
      </c>
      <c r="F45" s="3" t="s">
        <v>55</v>
      </c>
      <c r="G45" s="3">
        <v>3</v>
      </c>
      <c r="H45" s="3">
        <v>3</v>
      </c>
      <c r="I45" s="3" t="s">
        <v>16</v>
      </c>
      <c r="J45" s="3">
        <v>2310204077</v>
      </c>
      <c r="K45" s="4" t="s">
        <v>596</v>
      </c>
      <c r="L45" s="4" t="s">
        <v>597</v>
      </c>
      <c r="M45" s="3">
        <v>54636</v>
      </c>
      <c r="N45" s="3" t="str">
        <f>"40.628944"</f>
        <v>40.628944</v>
      </c>
      <c r="O45" s="3" t="str">
        <f>"22.961313"</f>
        <v>22.961313</v>
      </c>
      <c r="P45" s="3" t="s">
        <v>23</v>
      </c>
    </row>
    <row r="46" spans="1:16">
      <c r="A46" s="3" t="s">
        <v>33</v>
      </c>
      <c r="B46" s="3" t="str">
        <f>"9190016"</f>
        <v>9190016</v>
      </c>
      <c r="C46" s="4" t="s">
        <v>733</v>
      </c>
      <c r="D46" s="3" t="s">
        <v>17</v>
      </c>
      <c r="E46" s="3" t="s">
        <v>17</v>
      </c>
      <c r="F46" s="3" t="s">
        <v>55</v>
      </c>
      <c r="G46" s="3">
        <v>12</v>
      </c>
      <c r="H46" s="3">
        <v>12</v>
      </c>
      <c r="I46" s="3" t="s">
        <v>16</v>
      </c>
      <c r="J46" s="3">
        <v>2310837917</v>
      </c>
      <c r="K46" s="4" t="s">
        <v>734</v>
      </c>
      <c r="L46" s="4" t="s">
        <v>735</v>
      </c>
      <c r="M46" s="3">
        <v>53622</v>
      </c>
      <c r="N46" s="3" t="str">
        <f>"40.632688"</f>
        <v>40.632688</v>
      </c>
      <c r="O46" s="3" t="str">
        <f>"22.949866"</f>
        <v>22.949866</v>
      </c>
      <c r="P46" s="3" t="s">
        <v>23</v>
      </c>
    </row>
    <row r="47" spans="1:16">
      <c r="A47" s="3" t="s">
        <v>33</v>
      </c>
      <c r="B47" s="3" t="str">
        <f>"9190171"</f>
        <v>9190171</v>
      </c>
      <c r="C47" s="4" t="s">
        <v>390</v>
      </c>
      <c r="D47" s="3" t="s">
        <v>17</v>
      </c>
      <c r="E47" s="3" t="s">
        <v>17</v>
      </c>
      <c r="F47" s="3" t="s">
        <v>55</v>
      </c>
      <c r="G47" s="3">
        <v>11</v>
      </c>
      <c r="H47" s="3">
        <v>12</v>
      </c>
      <c r="I47" s="3" t="s">
        <v>16</v>
      </c>
      <c r="J47" s="3">
        <v>2310213133</v>
      </c>
      <c r="K47" s="4" t="s">
        <v>391</v>
      </c>
      <c r="L47" s="4" t="s">
        <v>224</v>
      </c>
      <c r="M47" s="3">
        <v>54636</v>
      </c>
      <c r="N47" s="3" t="str">
        <f>"40.631830"</f>
        <v>40.631830</v>
      </c>
      <c r="O47" s="3" t="str">
        <f>"22.967109"</f>
        <v>22.967109</v>
      </c>
      <c r="P47" s="3" t="s">
        <v>23</v>
      </c>
    </row>
    <row r="48" spans="1:16">
      <c r="A48" s="3" t="s">
        <v>33</v>
      </c>
      <c r="B48" s="3" t="str">
        <f>"9190174"</f>
        <v>9190174</v>
      </c>
      <c r="C48" s="4" t="s">
        <v>604</v>
      </c>
      <c r="D48" s="3" t="s">
        <v>17</v>
      </c>
      <c r="E48" s="3" t="s">
        <v>17</v>
      </c>
      <c r="F48" s="3" t="s">
        <v>55</v>
      </c>
      <c r="G48" s="3">
        <v>8</v>
      </c>
      <c r="H48" s="3">
        <v>8</v>
      </c>
      <c r="I48" s="3" t="s">
        <v>16</v>
      </c>
      <c r="J48" s="3">
        <v>2310238050</v>
      </c>
      <c r="K48" s="4" t="s">
        <v>605</v>
      </c>
      <c r="L48" s="4" t="s">
        <v>606</v>
      </c>
      <c r="M48" s="3">
        <v>54635</v>
      </c>
      <c r="N48" s="3" t="str">
        <f>"40.633598"</f>
        <v>40.633598</v>
      </c>
      <c r="O48" s="3" t="str">
        <f>"22.951165"</f>
        <v>22.951165</v>
      </c>
      <c r="P48" s="3" t="s">
        <v>23</v>
      </c>
    </row>
    <row r="49" spans="1:16">
      <c r="A49" s="3" t="s">
        <v>33</v>
      </c>
      <c r="B49" s="3" t="str">
        <f>"9190175"</f>
        <v>9190175</v>
      </c>
      <c r="C49" s="4" t="s">
        <v>119</v>
      </c>
      <c r="D49" s="3" t="s">
        <v>17</v>
      </c>
      <c r="E49" s="3" t="s">
        <v>17</v>
      </c>
      <c r="F49" s="3" t="s">
        <v>55</v>
      </c>
      <c r="G49" s="3">
        <v>6</v>
      </c>
      <c r="H49" s="3">
        <v>6</v>
      </c>
      <c r="I49" s="3" t="s">
        <v>16</v>
      </c>
      <c r="J49" s="3">
        <v>2310275695</v>
      </c>
      <c r="K49" s="4" t="s">
        <v>120</v>
      </c>
      <c r="L49" s="4" t="s">
        <v>121</v>
      </c>
      <c r="M49" s="3">
        <v>54635</v>
      </c>
      <c r="N49" s="3" t="str">
        <f>"40.636304"</f>
        <v>40.636304</v>
      </c>
      <c r="O49" s="3" t="str">
        <f>"22.948647"</f>
        <v>22.948647</v>
      </c>
      <c r="P49" s="3" t="s">
        <v>23</v>
      </c>
    </row>
    <row r="50" spans="1:16">
      <c r="A50" s="3" t="s">
        <v>33</v>
      </c>
      <c r="B50" s="3" t="str">
        <f>"9190176"</f>
        <v>9190176</v>
      </c>
      <c r="C50" s="4" t="s">
        <v>238</v>
      </c>
      <c r="D50" s="3" t="s">
        <v>17</v>
      </c>
      <c r="E50" s="3" t="s">
        <v>17</v>
      </c>
      <c r="F50" s="3" t="s">
        <v>55</v>
      </c>
      <c r="G50" s="3">
        <v>6</v>
      </c>
      <c r="H50" s="3">
        <v>6</v>
      </c>
      <c r="I50" s="3" t="s">
        <v>16</v>
      </c>
      <c r="J50" s="3">
        <v>2310272730</v>
      </c>
      <c r="K50" s="4" t="s">
        <v>239</v>
      </c>
      <c r="L50" s="4" t="s">
        <v>240</v>
      </c>
      <c r="M50" s="3">
        <v>54635</v>
      </c>
      <c r="N50" s="3" t="str">
        <f>"40.636660"</f>
        <v>40.636660</v>
      </c>
      <c r="O50" s="3" t="str">
        <f>"22.949445"</f>
        <v>22.949445</v>
      </c>
      <c r="P50" s="3" t="s">
        <v>23</v>
      </c>
    </row>
    <row r="51" spans="1:16">
      <c r="A51" s="3" t="s">
        <v>33</v>
      </c>
      <c r="B51" s="3" t="str">
        <f>"9190049"</f>
        <v>9190049</v>
      </c>
      <c r="C51" s="4" t="s">
        <v>640</v>
      </c>
      <c r="D51" s="3" t="s">
        <v>17</v>
      </c>
      <c r="E51" s="3" t="s">
        <v>17</v>
      </c>
      <c r="F51" s="3" t="s">
        <v>55</v>
      </c>
      <c r="G51" s="3">
        <v>6</v>
      </c>
      <c r="H51" s="3">
        <v>6</v>
      </c>
      <c r="I51" s="3" t="s">
        <v>16</v>
      </c>
      <c r="J51" s="3">
        <v>2310270307</v>
      </c>
      <c r="K51" s="4" t="s">
        <v>641</v>
      </c>
      <c r="L51" s="4" t="s">
        <v>59</v>
      </c>
      <c r="M51" s="3">
        <v>54621</v>
      </c>
      <c r="N51" s="3" t="str">
        <f>"40.628877"</f>
        <v>40.628877</v>
      </c>
      <c r="O51" s="3" t="str">
        <f>"22.950670"</f>
        <v>22.950670</v>
      </c>
      <c r="P51" s="3" t="s">
        <v>23</v>
      </c>
    </row>
    <row r="52" spans="1:16">
      <c r="A52" s="3" t="s">
        <v>33</v>
      </c>
      <c r="B52" s="3" t="str">
        <f>"9190050"</f>
        <v>9190050</v>
      </c>
      <c r="C52" s="4" t="s">
        <v>610</v>
      </c>
      <c r="D52" s="3" t="s">
        <v>17</v>
      </c>
      <c r="E52" s="3" t="s">
        <v>17</v>
      </c>
      <c r="F52" s="3" t="s">
        <v>55</v>
      </c>
      <c r="G52" s="3">
        <v>12</v>
      </c>
      <c r="H52" s="3">
        <v>12</v>
      </c>
      <c r="I52" s="3" t="s">
        <v>16</v>
      </c>
      <c r="J52" s="3">
        <v>2310221810</v>
      </c>
      <c r="K52" s="4" t="s">
        <v>611</v>
      </c>
      <c r="L52" s="4" t="s">
        <v>68</v>
      </c>
      <c r="M52" s="3">
        <v>54622</v>
      </c>
      <c r="N52" s="3" t="str">
        <f>"40.631703"</f>
        <v>40.631703</v>
      </c>
      <c r="O52" s="3" t="str">
        <f>"22.945827"</f>
        <v>22.945827</v>
      </c>
      <c r="P52" s="3" t="s">
        <v>23</v>
      </c>
    </row>
    <row r="53" spans="1:16">
      <c r="A53" s="3" t="s">
        <v>33</v>
      </c>
      <c r="B53" s="3" t="str">
        <f>"9190085"</f>
        <v>9190085</v>
      </c>
      <c r="C53" s="4" t="s">
        <v>510</v>
      </c>
      <c r="D53" s="3" t="s">
        <v>17</v>
      </c>
      <c r="E53" s="3" t="s">
        <v>17</v>
      </c>
      <c r="F53" s="3" t="s">
        <v>55</v>
      </c>
      <c r="G53" s="3">
        <v>7</v>
      </c>
      <c r="H53" s="3">
        <v>8</v>
      </c>
      <c r="I53" s="3" t="s">
        <v>16</v>
      </c>
      <c r="J53" s="3">
        <v>2310269589</v>
      </c>
      <c r="K53" s="4" t="s">
        <v>511</v>
      </c>
      <c r="L53" s="4" t="s">
        <v>512</v>
      </c>
      <c r="M53" s="3">
        <v>54622</v>
      </c>
      <c r="N53" s="3" t="str">
        <f>"40.630675"</f>
        <v>40.630675</v>
      </c>
      <c r="O53" s="3" t="str">
        <f>"22.943707"</f>
        <v>22.943707</v>
      </c>
      <c r="P53" s="3" t="s">
        <v>23</v>
      </c>
    </row>
    <row r="54" spans="1:16">
      <c r="A54" s="3" t="s">
        <v>33</v>
      </c>
      <c r="B54" s="3" t="str">
        <f>"9190140"</f>
        <v>9190140</v>
      </c>
      <c r="C54" s="4" t="s">
        <v>149</v>
      </c>
      <c r="D54" s="3" t="s">
        <v>17</v>
      </c>
      <c r="E54" s="3" t="s">
        <v>17</v>
      </c>
      <c r="F54" s="3" t="s">
        <v>55</v>
      </c>
      <c r="G54" s="3">
        <v>8</v>
      </c>
      <c r="H54" s="3">
        <v>12</v>
      </c>
      <c r="I54" s="3" t="s">
        <v>16</v>
      </c>
      <c r="J54" s="3">
        <v>2310524556</v>
      </c>
      <c r="K54" s="4" t="s">
        <v>150</v>
      </c>
      <c r="L54" s="4" t="s">
        <v>140</v>
      </c>
      <c r="M54" s="3">
        <v>54630</v>
      </c>
      <c r="N54" s="3" t="str">
        <f>"40.639607"</f>
        <v>40.639607</v>
      </c>
      <c r="O54" s="3" t="str">
        <f>"22.940955"</f>
        <v>22.940955</v>
      </c>
      <c r="P54" s="3" t="s">
        <v>23</v>
      </c>
    </row>
    <row r="55" spans="1:16">
      <c r="A55" s="3" t="s">
        <v>33</v>
      </c>
      <c r="B55" s="3" t="str">
        <f>"9190412"</f>
        <v>9190412</v>
      </c>
      <c r="C55" s="4" t="s">
        <v>702</v>
      </c>
      <c r="D55" s="3" t="s">
        <v>17</v>
      </c>
      <c r="E55" s="3" t="s">
        <v>17</v>
      </c>
      <c r="F55" s="3" t="s">
        <v>55</v>
      </c>
      <c r="G55" s="3">
        <v>6</v>
      </c>
      <c r="H55" s="3">
        <v>6</v>
      </c>
      <c r="I55" s="3" t="s">
        <v>16</v>
      </c>
      <c r="J55" s="3">
        <v>2310225697</v>
      </c>
      <c r="K55" s="4" t="s">
        <v>703</v>
      </c>
      <c r="L55" s="4" t="s">
        <v>421</v>
      </c>
      <c r="M55" s="3">
        <v>54631</v>
      </c>
      <c r="N55" s="3" t="str">
        <f>"40.636227"</f>
        <v>40.636227</v>
      </c>
      <c r="O55" s="3" t="str">
        <f>"22.948101"</f>
        <v>22.948101</v>
      </c>
      <c r="P55" s="3" t="s">
        <v>23</v>
      </c>
    </row>
    <row r="56" spans="1:16">
      <c r="A56" s="3" t="s">
        <v>33</v>
      </c>
      <c r="B56" s="3" t="str">
        <f>"9190531"</f>
        <v>9190531</v>
      </c>
      <c r="C56" s="4" t="s">
        <v>618</v>
      </c>
      <c r="D56" s="3" t="s">
        <v>17</v>
      </c>
      <c r="E56" s="3" t="s">
        <v>17</v>
      </c>
      <c r="F56" s="3" t="s">
        <v>103</v>
      </c>
      <c r="G56" s="3">
        <v>5</v>
      </c>
      <c r="H56" s="3">
        <v>7</v>
      </c>
      <c r="I56" s="3" t="s">
        <v>16</v>
      </c>
      <c r="J56" s="3">
        <v>2310534654</v>
      </c>
      <c r="K56" s="4" t="s">
        <v>619</v>
      </c>
      <c r="L56" s="4" t="s">
        <v>620</v>
      </c>
      <c r="M56" s="3">
        <v>54627</v>
      </c>
      <c r="N56" s="3" t="str">
        <f>"40.646207"</f>
        <v>40.646207</v>
      </c>
      <c r="O56" s="3" t="str">
        <f>"22.918046"</f>
        <v>22.918046</v>
      </c>
      <c r="P56" s="3" t="s">
        <v>23</v>
      </c>
    </row>
    <row r="57" spans="1:16">
      <c r="A57" s="3" t="s">
        <v>33</v>
      </c>
      <c r="B57" s="3" t="str">
        <f>"9190184"</f>
        <v>9190184</v>
      </c>
      <c r="C57" s="4" t="s">
        <v>241</v>
      </c>
      <c r="D57" s="3" t="s">
        <v>17</v>
      </c>
      <c r="E57" s="3" t="s">
        <v>17</v>
      </c>
      <c r="F57" s="3" t="s">
        <v>103</v>
      </c>
      <c r="G57" s="3">
        <v>7</v>
      </c>
      <c r="H57" s="3">
        <v>8</v>
      </c>
      <c r="I57" s="3" t="s">
        <v>16</v>
      </c>
      <c r="J57" s="3">
        <v>2310622407</v>
      </c>
      <c r="K57" s="4" t="s">
        <v>242</v>
      </c>
      <c r="L57" s="4" t="s">
        <v>106</v>
      </c>
      <c r="M57" s="3">
        <v>54632</v>
      </c>
      <c r="N57" s="3" t="str">
        <f>"40.645858"</f>
        <v>40.645858</v>
      </c>
      <c r="O57" s="3" t="str">
        <f>"22.939849"</f>
        <v>22.939849</v>
      </c>
      <c r="P57" s="3" t="s">
        <v>23</v>
      </c>
    </row>
    <row r="58" spans="1:16">
      <c r="A58" s="3" t="s">
        <v>33</v>
      </c>
      <c r="B58" s="3" t="str">
        <f>"9190186"</f>
        <v>9190186</v>
      </c>
      <c r="C58" s="4" t="s">
        <v>104</v>
      </c>
      <c r="D58" s="3" t="s">
        <v>17</v>
      </c>
      <c r="E58" s="3" t="s">
        <v>17</v>
      </c>
      <c r="F58" s="3" t="s">
        <v>103</v>
      </c>
      <c r="G58" s="3">
        <v>7</v>
      </c>
      <c r="H58" s="3">
        <v>8</v>
      </c>
      <c r="I58" s="3" t="s">
        <v>16</v>
      </c>
      <c r="J58" s="3">
        <v>2310623318</v>
      </c>
      <c r="K58" s="4" t="s">
        <v>105</v>
      </c>
      <c r="L58" s="4" t="s">
        <v>106</v>
      </c>
      <c r="M58" s="3">
        <v>54632</v>
      </c>
      <c r="N58" s="3" t="str">
        <f>"40.645854"</f>
        <v>40.645854</v>
      </c>
      <c r="O58" s="3" t="str">
        <f>"22.939178"</f>
        <v>22.939178</v>
      </c>
      <c r="P58" s="3" t="s">
        <v>23</v>
      </c>
    </row>
    <row r="59" spans="1:16">
      <c r="A59" s="3" t="s">
        <v>33</v>
      </c>
      <c r="B59" s="3" t="str">
        <f>"9190144"</f>
        <v>9190144</v>
      </c>
      <c r="C59" s="4" t="s">
        <v>151</v>
      </c>
      <c r="D59" s="3" t="s">
        <v>17</v>
      </c>
      <c r="E59" s="3" t="s">
        <v>17</v>
      </c>
      <c r="F59" s="3" t="s">
        <v>103</v>
      </c>
      <c r="G59" s="3">
        <v>6</v>
      </c>
      <c r="H59" s="3">
        <v>8</v>
      </c>
      <c r="I59" s="3" t="s">
        <v>16</v>
      </c>
      <c r="J59" s="3">
        <v>2310517009</v>
      </c>
      <c r="K59" s="4" t="s">
        <v>152</v>
      </c>
      <c r="L59" s="4" t="s">
        <v>153</v>
      </c>
      <c r="M59" s="3">
        <v>54627</v>
      </c>
      <c r="N59" s="3" t="str">
        <f>"40.645013"</f>
        <v>40.645013</v>
      </c>
      <c r="O59" s="3" t="str">
        <f>"22.927512"</f>
        <v>22.927512</v>
      </c>
      <c r="P59" s="3" t="s">
        <v>23</v>
      </c>
    </row>
    <row r="60" spans="1:16">
      <c r="A60" s="3" t="s">
        <v>33</v>
      </c>
      <c r="B60" s="3" t="str">
        <f>"9190145"</f>
        <v>9190145</v>
      </c>
      <c r="C60" s="4" t="s">
        <v>635</v>
      </c>
      <c r="D60" s="3" t="s">
        <v>17</v>
      </c>
      <c r="E60" s="3" t="s">
        <v>17</v>
      </c>
      <c r="F60" s="3" t="s">
        <v>103</v>
      </c>
      <c r="G60" s="3">
        <v>6</v>
      </c>
      <c r="H60" s="3">
        <v>6</v>
      </c>
      <c r="I60" s="3" t="s">
        <v>16</v>
      </c>
      <c r="J60" s="3">
        <v>2310516890</v>
      </c>
      <c r="K60" s="4" t="s">
        <v>636</v>
      </c>
      <c r="L60" s="4" t="s">
        <v>356</v>
      </c>
      <c r="M60" s="3">
        <v>54627</v>
      </c>
      <c r="N60" s="3" t="str">
        <f>"40.646460"</f>
        <v>40.646460</v>
      </c>
      <c r="O60" s="3" t="str">
        <f>"22.918058"</f>
        <v>22.918058</v>
      </c>
      <c r="P60" s="3" t="s">
        <v>23</v>
      </c>
    </row>
    <row r="61" spans="1:16">
      <c r="A61" s="3" t="s">
        <v>33</v>
      </c>
      <c r="B61" s="3" t="str">
        <f>"9190147"</f>
        <v>9190147</v>
      </c>
      <c r="C61" s="4" t="s">
        <v>172</v>
      </c>
      <c r="D61" s="3" t="s">
        <v>17</v>
      </c>
      <c r="E61" s="3" t="s">
        <v>17</v>
      </c>
      <c r="F61" s="3" t="s">
        <v>103</v>
      </c>
      <c r="G61" s="3">
        <v>6</v>
      </c>
      <c r="H61" s="3">
        <v>6</v>
      </c>
      <c r="I61" s="3" t="s">
        <v>16</v>
      </c>
      <c r="J61" s="3">
        <v>2310514648</v>
      </c>
      <c r="K61" s="4" t="s">
        <v>173</v>
      </c>
      <c r="L61" s="4" t="s">
        <v>174</v>
      </c>
      <c r="M61" s="3">
        <v>54629</v>
      </c>
      <c r="N61" s="3" t="str">
        <f>"40.647597"</f>
        <v>40.647597</v>
      </c>
      <c r="O61" s="3" t="str">
        <f>"22.934456"</f>
        <v>22.934456</v>
      </c>
      <c r="P61" s="3" t="s">
        <v>23</v>
      </c>
    </row>
    <row r="62" spans="1:16">
      <c r="A62" s="3" t="s">
        <v>33</v>
      </c>
      <c r="B62" s="3" t="str">
        <f>"9190148"</f>
        <v>9190148</v>
      </c>
      <c r="C62" s="4" t="s">
        <v>125</v>
      </c>
      <c r="D62" s="3" t="s">
        <v>17</v>
      </c>
      <c r="E62" s="3" t="s">
        <v>17</v>
      </c>
      <c r="F62" s="3" t="s">
        <v>103</v>
      </c>
      <c r="G62" s="3">
        <v>10</v>
      </c>
      <c r="H62" s="3">
        <v>12</v>
      </c>
      <c r="I62" s="3" t="s">
        <v>16</v>
      </c>
      <c r="J62" s="3">
        <v>2310514030</v>
      </c>
      <c r="K62" s="4" t="s">
        <v>126</v>
      </c>
      <c r="L62" s="4" t="s">
        <v>127</v>
      </c>
      <c r="M62" s="3">
        <v>54629</v>
      </c>
      <c r="N62" s="3" t="str">
        <f>"40.647260"</f>
        <v>40.647260</v>
      </c>
      <c r="O62" s="3" t="str">
        <f>"22.930178"</f>
        <v>22.930178</v>
      </c>
      <c r="P62" s="3" t="s">
        <v>23</v>
      </c>
    </row>
    <row r="63" spans="1:16">
      <c r="A63" s="3" t="s">
        <v>33</v>
      </c>
      <c r="B63" s="3" t="str">
        <f>"9190831"</f>
        <v>9190831</v>
      </c>
      <c r="C63" s="4" t="s">
        <v>182</v>
      </c>
      <c r="D63" s="3" t="s">
        <v>17</v>
      </c>
      <c r="E63" s="3" t="s">
        <v>17</v>
      </c>
      <c r="F63" s="3" t="s">
        <v>103</v>
      </c>
      <c r="G63" s="3">
        <v>6</v>
      </c>
      <c r="H63" s="3">
        <v>6</v>
      </c>
      <c r="I63" s="3" t="s">
        <v>16</v>
      </c>
      <c r="J63" s="3">
        <v>2310529932</v>
      </c>
      <c r="K63" s="4" t="s">
        <v>183</v>
      </c>
      <c r="L63" s="4" t="s">
        <v>184</v>
      </c>
      <c r="M63" s="3">
        <v>54629</v>
      </c>
      <c r="N63" s="3" t="str">
        <f>"40.647027"</f>
        <v>40.647027</v>
      </c>
      <c r="O63" s="3" t="str">
        <f>"22.933162"</f>
        <v>22.933162</v>
      </c>
      <c r="P63" s="3" t="s">
        <v>23</v>
      </c>
    </row>
    <row r="64" spans="1:16">
      <c r="A64" s="3" t="s">
        <v>33</v>
      </c>
      <c r="B64" s="3" t="str">
        <f>"9190178"</f>
        <v>9190178</v>
      </c>
      <c r="C64" s="4" t="s">
        <v>403</v>
      </c>
      <c r="D64" s="3" t="s">
        <v>17</v>
      </c>
      <c r="E64" s="3" t="s">
        <v>17</v>
      </c>
      <c r="F64" s="3" t="s">
        <v>47</v>
      </c>
      <c r="G64" s="3">
        <v>9</v>
      </c>
      <c r="H64" s="3">
        <v>12</v>
      </c>
      <c r="I64" s="3" t="s">
        <v>16</v>
      </c>
      <c r="J64" s="3">
        <v>2310205550</v>
      </c>
      <c r="K64" s="4" t="s">
        <v>404</v>
      </c>
      <c r="L64" s="4" t="s">
        <v>339</v>
      </c>
      <c r="M64" s="3">
        <v>54634</v>
      </c>
      <c r="N64" s="3" t="str">
        <f>"40.639005"</f>
        <v>40.639005</v>
      </c>
      <c r="O64" s="3" t="str">
        <f>"22.952146"</f>
        <v>22.952146</v>
      </c>
      <c r="P64" s="3" t="s">
        <v>23</v>
      </c>
    </row>
    <row r="65" spans="1:16">
      <c r="A65" s="3" t="s">
        <v>33</v>
      </c>
      <c r="B65" s="3" t="str">
        <f>"9190183"</f>
        <v>9190183</v>
      </c>
      <c r="C65" s="4" t="s">
        <v>630</v>
      </c>
      <c r="D65" s="3" t="s">
        <v>17</v>
      </c>
      <c r="E65" s="3" t="s">
        <v>17</v>
      </c>
      <c r="F65" s="3" t="s">
        <v>47</v>
      </c>
      <c r="G65" s="3">
        <v>10</v>
      </c>
      <c r="H65" s="3">
        <v>12</v>
      </c>
      <c r="I65" s="3" t="s">
        <v>16</v>
      </c>
      <c r="J65" s="3">
        <v>2310205090</v>
      </c>
      <c r="K65" s="4" t="s">
        <v>631</v>
      </c>
      <c r="L65" s="4" t="s">
        <v>336</v>
      </c>
      <c r="M65" s="3">
        <v>54634</v>
      </c>
      <c r="N65" s="3" t="str">
        <f>"40.641819"</f>
        <v>40.641819</v>
      </c>
      <c r="O65" s="3" t="str">
        <f>"22.959714"</f>
        <v>22.959714</v>
      </c>
      <c r="P65" s="3" t="s">
        <v>23</v>
      </c>
    </row>
    <row r="66" spans="1:16">
      <c r="A66" s="3" t="s">
        <v>33</v>
      </c>
      <c r="B66" s="3" t="str">
        <f>"9190086"</f>
        <v>9190086</v>
      </c>
      <c r="C66" s="4" t="s">
        <v>48</v>
      </c>
      <c r="D66" s="3" t="s">
        <v>17</v>
      </c>
      <c r="E66" s="3" t="s">
        <v>17</v>
      </c>
      <c r="F66" s="3" t="s">
        <v>47</v>
      </c>
      <c r="G66" s="3">
        <v>6</v>
      </c>
      <c r="H66" s="3">
        <v>6</v>
      </c>
      <c r="I66" s="3" t="s">
        <v>16</v>
      </c>
      <c r="J66" s="3">
        <v>2310273371</v>
      </c>
      <c r="K66" s="4" t="s">
        <v>49</v>
      </c>
      <c r="L66" s="4" t="s">
        <v>50</v>
      </c>
      <c r="M66" s="3">
        <v>54633</v>
      </c>
      <c r="N66" s="3" t="str">
        <f>"40.639914"</f>
        <v>40.639914</v>
      </c>
      <c r="O66" s="3" t="str">
        <f>"22.947161"</f>
        <v>22.947161</v>
      </c>
      <c r="P66" s="3" t="s">
        <v>23</v>
      </c>
    </row>
    <row r="67" spans="1:16">
      <c r="A67" s="3" t="s">
        <v>33</v>
      </c>
      <c r="B67" s="3" t="str">
        <f>"9190088"</f>
        <v>9190088</v>
      </c>
      <c r="C67" s="4" t="s">
        <v>601</v>
      </c>
      <c r="D67" s="3" t="s">
        <v>17</v>
      </c>
      <c r="E67" s="3" t="s">
        <v>17</v>
      </c>
      <c r="F67" s="3" t="s">
        <v>47</v>
      </c>
      <c r="G67" s="3">
        <v>6</v>
      </c>
      <c r="H67" s="3">
        <v>6</v>
      </c>
      <c r="I67" s="3" t="s">
        <v>16</v>
      </c>
      <c r="J67" s="3">
        <v>2310272500</v>
      </c>
      <c r="K67" s="4" t="s">
        <v>602</v>
      </c>
      <c r="L67" s="4" t="s">
        <v>603</v>
      </c>
      <c r="M67" s="3">
        <v>54633</v>
      </c>
      <c r="N67" s="3" t="str">
        <f>"40.640981"</f>
        <v>40.640981</v>
      </c>
      <c r="O67" s="3" t="str">
        <f>"22.946500"</f>
        <v>22.946500</v>
      </c>
      <c r="P67" s="3" t="s">
        <v>23</v>
      </c>
    </row>
    <row r="68" spans="1:16">
      <c r="A68" s="3" t="s">
        <v>33</v>
      </c>
      <c r="B68" s="3" t="str">
        <f>"9190089"</f>
        <v>9190089</v>
      </c>
      <c r="C68" s="4" t="s">
        <v>263</v>
      </c>
      <c r="D68" s="3" t="s">
        <v>17</v>
      </c>
      <c r="E68" s="3" t="s">
        <v>17</v>
      </c>
      <c r="F68" s="3" t="s">
        <v>47</v>
      </c>
      <c r="G68" s="3">
        <v>6</v>
      </c>
      <c r="H68" s="3">
        <v>6</v>
      </c>
      <c r="I68" s="3" t="s">
        <v>16</v>
      </c>
      <c r="J68" s="3">
        <v>2310272500</v>
      </c>
      <c r="K68" s="4" t="s">
        <v>264</v>
      </c>
      <c r="L68" s="4" t="s">
        <v>265</v>
      </c>
      <c r="M68" s="3">
        <v>54632</v>
      </c>
      <c r="N68" s="3" t="str">
        <f>"40.642739"</f>
        <v>40.642739</v>
      </c>
      <c r="O68" s="3" t="str">
        <f>"22.944891"</f>
        <v>22.944891</v>
      </c>
      <c r="P68" s="3" t="s">
        <v>23</v>
      </c>
    </row>
    <row r="69" spans="1:16">
      <c r="A69" s="3" t="s">
        <v>33</v>
      </c>
      <c r="B69" s="3" t="str">
        <f>"9190637"</f>
        <v>9190637</v>
      </c>
      <c r="C69" s="4" t="s">
        <v>713</v>
      </c>
      <c r="D69" s="3" t="s">
        <v>17</v>
      </c>
      <c r="E69" s="3" t="s">
        <v>17</v>
      </c>
      <c r="F69" s="3" t="s">
        <v>51</v>
      </c>
      <c r="G69" s="3">
        <v>7</v>
      </c>
      <c r="H69" s="3">
        <v>6</v>
      </c>
      <c r="I69" s="3" t="s">
        <v>16</v>
      </c>
      <c r="J69" s="3">
        <v>2310929160</v>
      </c>
      <c r="K69" s="4" t="s">
        <v>714</v>
      </c>
      <c r="L69" s="4" t="s">
        <v>715</v>
      </c>
      <c r="M69" s="3">
        <v>54351</v>
      </c>
      <c r="N69" s="3" t="str">
        <f>"40.617802"</f>
        <v>40.617802</v>
      </c>
      <c r="O69" s="3" t="str">
        <f>"22.976440"</f>
        <v>22.976440</v>
      </c>
      <c r="P69" s="3" t="s">
        <v>23</v>
      </c>
    </row>
    <row r="70" spans="1:16">
      <c r="A70" s="3" t="s">
        <v>33</v>
      </c>
      <c r="B70" s="3" t="str">
        <f>"9190851"</f>
        <v>9190851</v>
      </c>
      <c r="C70" s="4" t="s">
        <v>188</v>
      </c>
      <c r="D70" s="3" t="s">
        <v>17</v>
      </c>
      <c r="E70" s="3" t="s">
        <v>17</v>
      </c>
      <c r="F70" s="3" t="s">
        <v>51</v>
      </c>
      <c r="G70" s="3">
        <v>12</v>
      </c>
      <c r="H70" s="3">
        <v>12</v>
      </c>
      <c r="I70" s="3" t="s">
        <v>16</v>
      </c>
      <c r="J70" s="3">
        <v>2310925168</v>
      </c>
      <c r="K70" s="4" t="s">
        <v>189</v>
      </c>
      <c r="L70" s="4" t="s">
        <v>190</v>
      </c>
      <c r="M70" s="3">
        <v>54454</v>
      </c>
      <c r="N70" s="3" t="str">
        <f>"40.608245"</f>
        <v>40.608245</v>
      </c>
      <c r="O70" s="3" t="str">
        <f>"22.976134"</f>
        <v>22.976134</v>
      </c>
      <c r="P70" s="3" t="s">
        <v>23</v>
      </c>
    </row>
    <row r="71" spans="1:16">
      <c r="A71" s="3" t="s">
        <v>33</v>
      </c>
      <c r="B71" s="3" t="str">
        <f>"9190669"</f>
        <v>9190669</v>
      </c>
      <c r="C71" s="4" t="s">
        <v>232</v>
      </c>
      <c r="D71" s="3" t="s">
        <v>17</v>
      </c>
      <c r="E71" s="3" t="s">
        <v>17</v>
      </c>
      <c r="F71" s="3" t="s">
        <v>51</v>
      </c>
      <c r="G71" s="3">
        <v>16</v>
      </c>
      <c r="H71" s="3">
        <v>16</v>
      </c>
      <c r="I71" s="3" t="s">
        <v>16</v>
      </c>
      <c r="J71" s="3">
        <v>2310926304</v>
      </c>
      <c r="K71" s="4" t="s">
        <v>233</v>
      </c>
      <c r="L71" s="4" t="s">
        <v>234</v>
      </c>
      <c r="M71" s="3">
        <v>54352</v>
      </c>
      <c r="N71" s="3" t="str">
        <f>"40.611961"</f>
        <v>40.611961</v>
      </c>
      <c r="O71" s="3" t="str">
        <f>"22.988427"</f>
        <v>22.988427</v>
      </c>
      <c r="P71" s="3" t="s">
        <v>23</v>
      </c>
    </row>
    <row r="72" spans="1:16">
      <c r="A72" s="3" t="s">
        <v>33</v>
      </c>
      <c r="B72" s="3" t="str">
        <f>"9190732"</f>
        <v>9190732</v>
      </c>
      <c r="C72" s="4" t="s">
        <v>87</v>
      </c>
      <c r="D72" s="3" t="s">
        <v>17</v>
      </c>
      <c r="E72" s="3" t="s">
        <v>17</v>
      </c>
      <c r="F72" s="3" t="s">
        <v>51</v>
      </c>
      <c r="G72" s="3">
        <v>10</v>
      </c>
      <c r="H72" s="3">
        <v>12</v>
      </c>
      <c r="I72" s="3" t="s">
        <v>16</v>
      </c>
      <c r="J72" s="3">
        <v>2310928783</v>
      </c>
      <c r="K72" s="4" t="s">
        <v>88</v>
      </c>
      <c r="L72" s="4" t="s">
        <v>89</v>
      </c>
      <c r="M72" s="3">
        <v>54454</v>
      </c>
      <c r="N72" s="3" t="str">
        <f>"40.604544"</f>
        <v>40.604544</v>
      </c>
      <c r="O72" s="3" t="str">
        <f>"22.977068"</f>
        <v>22.977068</v>
      </c>
      <c r="P72" s="3" t="s">
        <v>23</v>
      </c>
    </row>
    <row r="73" spans="1:16">
      <c r="A73" s="3" t="s">
        <v>33</v>
      </c>
      <c r="B73" s="3" t="str">
        <f>"9190761"</f>
        <v>9190761</v>
      </c>
      <c r="C73" s="4" t="s">
        <v>736</v>
      </c>
      <c r="D73" s="3" t="s">
        <v>17</v>
      </c>
      <c r="E73" s="3" t="s">
        <v>17</v>
      </c>
      <c r="F73" s="3" t="s">
        <v>51</v>
      </c>
      <c r="G73" s="3">
        <v>12</v>
      </c>
      <c r="H73" s="3">
        <v>12</v>
      </c>
      <c r="I73" s="3" t="s">
        <v>16</v>
      </c>
      <c r="J73" s="3">
        <v>2310928959</v>
      </c>
      <c r="K73" s="4" t="s">
        <v>737</v>
      </c>
      <c r="L73" s="4" t="s">
        <v>738</v>
      </c>
      <c r="M73" s="3">
        <v>54352</v>
      </c>
      <c r="N73" s="3" t="str">
        <f>"40.609583"</f>
        <v>40.609583</v>
      </c>
      <c r="O73" s="3" t="str">
        <f>"22.981489"</f>
        <v>22.981489</v>
      </c>
      <c r="P73" s="3" t="s">
        <v>23</v>
      </c>
    </row>
    <row r="74" spans="1:16">
      <c r="A74" s="3" t="s">
        <v>33</v>
      </c>
      <c r="B74" s="3" t="str">
        <f>"9190041"</f>
        <v>9190041</v>
      </c>
      <c r="C74" s="4" t="s">
        <v>667</v>
      </c>
      <c r="D74" s="3" t="s">
        <v>17</v>
      </c>
      <c r="E74" s="3" t="s">
        <v>17</v>
      </c>
      <c r="F74" s="3" t="s">
        <v>51</v>
      </c>
      <c r="G74" s="3">
        <v>10</v>
      </c>
      <c r="H74" s="3">
        <v>12</v>
      </c>
      <c r="I74" s="3" t="s">
        <v>16</v>
      </c>
      <c r="J74" s="3">
        <v>2310911797</v>
      </c>
      <c r="K74" s="4" t="s">
        <v>668</v>
      </c>
      <c r="L74" s="4" t="s">
        <v>669</v>
      </c>
      <c r="M74" s="3">
        <v>54453</v>
      </c>
      <c r="N74" s="3" t="str">
        <f>"40.610283"</f>
        <v>40.610283</v>
      </c>
      <c r="O74" s="3" t="str">
        <f>"22.965648"</f>
        <v>22.965648</v>
      </c>
      <c r="P74" s="3" t="s">
        <v>23</v>
      </c>
    </row>
    <row r="75" spans="1:16">
      <c r="A75" s="3" t="s">
        <v>33</v>
      </c>
      <c r="B75" s="3" t="str">
        <f>"9190042"</f>
        <v>9190042</v>
      </c>
      <c r="C75" s="4" t="s">
        <v>388</v>
      </c>
      <c r="D75" s="3" t="s">
        <v>17</v>
      </c>
      <c r="E75" s="3" t="s">
        <v>17</v>
      </c>
      <c r="F75" s="3" t="s">
        <v>51</v>
      </c>
      <c r="G75" s="3">
        <v>10</v>
      </c>
      <c r="H75" s="3">
        <v>12</v>
      </c>
      <c r="I75" s="3" t="s">
        <v>16</v>
      </c>
      <c r="J75" s="3">
        <v>2310914680</v>
      </c>
      <c r="K75" s="4" t="s">
        <v>389</v>
      </c>
      <c r="L75" s="4" t="s">
        <v>319</v>
      </c>
      <c r="M75" s="3">
        <v>54454</v>
      </c>
      <c r="N75" s="3" t="str">
        <f>"40.610223"</f>
        <v>40.610223</v>
      </c>
      <c r="O75" s="3" t="str">
        <f>"22.972400"</f>
        <v>22.972400</v>
      </c>
      <c r="P75" s="3" t="s">
        <v>23</v>
      </c>
    </row>
    <row r="76" spans="1:16">
      <c r="A76" s="3" t="s">
        <v>33</v>
      </c>
      <c r="B76" s="3" t="str">
        <f>"9190044"</f>
        <v>9190044</v>
      </c>
      <c r="C76" s="4" t="s">
        <v>598</v>
      </c>
      <c r="D76" s="3" t="s">
        <v>17</v>
      </c>
      <c r="E76" s="3" t="s">
        <v>17</v>
      </c>
      <c r="F76" s="3" t="s">
        <v>51</v>
      </c>
      <c r="G76" s="3">
        <v>11</v>
      </c>
      <c r="H76" s="3">
        <v>12</v>
      </c>
      <c r="I76" s="3" t="s">
        <v>16</v>
      </c>
      <c r="J76" s="3">
        <v>2310913420</v>
      </c>
      <c r="K76" s="4" t="s">
        <v>599</v>
      </c>
      <c r="L76" s="4" t="s">
        <v>600</v>
      </c>
      <c r="M76" s="3">
        <v>54352</v>
      </c>
      <c r="N76" s="3" t="str">
        <f>"40.609408"</f>
        <v>40.609408</v>
      </c>
      <c r="O76" s="3" t="str">
        <f>"22.982311"</f>
        <v>22.982311</v>
      </c>
      <c r="P76" s="3" t="s">
        <v>23</v>
      </c>
    </row>
    <row r="77" spans="1:16">
      <c r="A77" s="3" t="s">
        <v>33</v>
      </c>
      <c r="B77" s="3" t="str">
        <f>"9190167"</f>
        <v>9190167</v>
      </c>
      <c r="C77" s="4" t="s">
        <v>685</v>
      </c>
      <c r="D77" s="3" t="s">
        <v>17</v>
      </c>
      <c r="E77" s="3" t="s">
        <v>17</v>
      </c>
      <c r="F77" s="3" t="s">
        <v>51</v>
      </c>
      <c r="G77" s="3">
        <v>12</v>
      </c>
      <c r="H77" s="3">
        <v>12</v>
      </c>
      <c r="I77" s="3" t="s">
        <v>16</v>
      </c>
      <c r="J77" s="3">
        <v>2310912334</v>
      </c>
      <c r="K77" s="4" t="s">
        <v>686</v>
      </c>
      <c r="L77" s="4" t="s">
        <v>687</v>
      </c>
      <c r="M77" s="3">
        <v>54351</v>
      </c>
      <c r="N77" s="3" t="str">
        <f>"40.614392"</f>
        <v>40.614392</v>
      </c>
      <c r="O77" s="3" t="str">
        <f>"22.977281"</f>
        <v>22.977281</v>
      </c>
      <c r="P77" s="3" t="s">
        <v>23</v>
      </c>
    </row>
    <row r="78" spans="1:16">
      <c r="A78" s="3" t="s">
        <v>33</v>
      </c>
      <c r="B78" s="3" t="str">
        <f>"9190169"</f>
        <v>9190169</v>
      </c>
      <c r="C78" s="4" t="s">
        <v>670</v>
      </c>
      <c r="D78" s="3" t="s">
        <v>17</v>
      </c>
      <c r="E78" s="3" t="s">
        <v>17</v>
      </c>
      <c r="F78" s="3" t="s">
        <v>51</v>
      </c>
      <c r="G78" s="3">
        <v>6</v>
      </c>
      <c r="H78" s="3">
        <v>6</v>
      </c>
      <c r="I78" s="3" t="s">
        <v>16</v>
      </c>
      <c r="J78" s="3">
        <v>2310934600</v>
      </c>
      <c r="K78" s="4" t="s">
        <v>671</v>
      </c>
      <c r="L78" s="4" t="s">
        <v>431</v>
      </c>
      <c r="M78" s="3">
        <v>54351</v>
      </c>
      <c r="N78" s="3" t="str">
        <f>"40.616670"</f>
        <v>40.616670</v>
      </c>
      <c r="O78" s="3" t="str">
        <f>"22.976866"</f>
        <v>22.976866</v>
      </c>
      <c r="P78" s="3" t="s">
        <v>23</v>
      </c>
    </row>
    <row r="79" spans="1:16">
      <c r="A79" s="3" t="s">
        <v>33</v>
      </c>
      <c r="B79" s="3" t="str">
        <f>"9190170"</f>
        <v>9190170</v>
      </c>
      <c r="C79" s="4" t="s">
        <v>672</v>
      </c>
      <c r="D79" s="3" t="s">
        <v>17</v>
      </c>
      <c r="E79" s="3" t="s">
        <v>17</v>
      </c>
      <c r="F79" s="3" t="s">
        <v>51</v>
      </c>
      <c r="G79" s="3">
        <v>12</v>
      </c>
      <c r="H79" s="3">
        <v>12</v>
      </c>
      <c r="I79" s="3" t="s">
        <v>16</v>
      </c>
      <c r="J79" s="3">
        <v>2310912197</v>
      </c>
      <c r="K79" s="4" t="s">
        <v>673</v>
      </c>
      <c r="L79" s="4" t="s">
        <v>674</v>
      </c>
      <c r="M79" s="3">
        <v>54351</v>
      </c>
      <c r="N79" s="3" t="str">
        <f>"40.620021"</f>
        <v>40.620021</v>
      </c>
      <c r="O79" s="3" t="str">
        <f>"22.976958"</f>
        <v>22.976958</v>
      </c>
      <c r="P79" s="3" t="s">
        <v>23</v>
      </c>
    </row>
    <row r="80" spans="1:16">
      <c r="A80" s="3" t="s">
        <v>33</v>
      </c>
      <c r="B80" s="3" t="str">
        <f>"9190045"</f>
        <v>9190045</v>
      </c>
      <c r="C80" s="4" t="s">
        <v>675</v>
      </c>
      <c r="D80" s="3" t="s">
        <v>17</v>
      </c>
      <c r="E80" s="3" t="s">
        <v>17</v>
      </c>
      <c r="F80" s="3" t="s">
        <v>51</v>
      </c>
      <c r="G80" s="3">
        <v>8</v>
      </c>
      <c r="H80" s="3">
        <v>10</v>
      </c>
      <c r="I80" s="3" t="s">
        <v>16</v>
      </c>
      <c r="J80" s="3">
        <v>2310920135</v>
      </c>
      <c r="K80" s="4" t="s">
        <v>676</v>
      </c>
      <c r="L80" s="4" t="s">
        <v>54</v>
      </c>
      <c r="M80" s="3">
        <v>54453</v>
      </c>
      <c r="N80" s="3" t="str">
        <f>"40.616821"</f>
        <v>40.616821</v>
      </c>
      <c r="O80" s="3" t="str">
        <f>"22.966783"</f>
        <v>22.966783</v>
      </c>
      <c r="P80" s="3" t="s">
        <v>23</v>
      </c>
    </row>
    <row r="81" spans="1:16">
      <c r="A81" s="3" t="s">
        <v>33</v>
      </c>
      <c r="B81" s="3" t="str">
        <f>"9190551"</f>
        <v>9190551</v>
      </c>
      <c r="C81" s="4" t="s">
        <v>677</v>
      </c>
      <c r="D81" s="3" t="s">
        <v>17</v>
      </c>
      <c r="E81" s="3" t="s">
        <v>17</v>
      </c>
      <c r="F81" s="3" t="s">
        <v>51</v>
      </c>
      <c r="G81" s="3">
        <v>11</v>
      </c>
      <c r="H81" s="3">
        <v>12</v>
      </c>
      <c r="I81" s="3" t="s">
        <v>16</v>
      </c>
      <c r="J81" s="3">
        <v>2310927743</v>
      </c>
      <c r="K81" s="4" t="s">
        <v>678</v>
      </c>
      <c r="L81" s="4" t="s">
        <v>679</v>
      </c>
      <c r="M81" s="3">
        <v>54454</v>
      </c>
      <c r="N81" s="3" t="str">
        <f>"40.610467"</f>
        <v>40.610467</v>
      </c>
      <c r="O81" s="3" t="str">
        <f>"22.975614"</f>
        <v>22.975614</v>
      </c>
      <c r="P81" s="3" t="s">
        <v>23</v>
      </c>
    </row>
    <row r="82" spans="1:16">
      <c r="A82" s="3" t="s">
        <v>33</v>
      </c>
      <c r="B82" s="3" t="str">
        <f>"9190046"</f>
        <v>9190046</v>
      </c>
      <c r="C82" s="4" t="s">
        <v>680</v>
      </c>
      <c r="D82" s="3" t="s">
        <v>17</v>
      </c>
      <c r="E82" s="3" t="s">
        <v>17</v>
      </c>
      <c r="F82" s="3" t="s">
        <v>51</v>
      </c>
      <c r="G82" s="3">
        <v>11</v>
      </c>
      <c r="H82" s="3">
        <v>12</v>
      </c>
      <c r="I82" s="3" t="s">
        <v>16</v>
      </c>
      <c r="J82" s="3">
        <v>2310912175</v>
      </c>
      <c r="K82" s="4" t="s">
        <v>681</v>
      </c>
      <c r="L82" s="4" t="s">
        <v>682</v>
      </c>
      <c r="M82" s="3">
        <v>54638</v>
      </c>
      <c r="N82" s="3" t="str">
        <f>"40.620879"</f>
        <v>40.620879</v>
      </c>
      <c r="O82" s="3" t="str">
        <f>"22.967142"</f>
        <v>22.967142</v>
      </c>
      <c r="P82" s="3" t="s">
        <v>23</v>
      </c>
    </row>
    <row r="83" spans="1:16">
      <c r="A83" s="3" t="s">
        <v>33</v>
      </c>
      <c r="B83" s="3" t="str">
        <f>"9190047"</f>
        <v>9190047</v>
      </c>
      <c r="C83" s="4" t="s">
        <v>340</v>
      </c>
      <c r="D83" s="3" t="s">
        <v>17</v>
      </c>
      <c r="E83" s="3" t="s">
        <v>17</v>
      </c>
      <c r="F83" s="3" t="s">
        <v>51</v>
      </c>
      <c r="G83" s="3">
        <v>8</v>
      </c>
      <c r="H83" s="3">
        <v>12</v>
      </c>
      <c r="I83" s="3" t="s">
        <v>16</v>
      </c>
      <c r="J83" s="3">
        <v>2310824787</v>
      </c>
      <c r="K83" s="4" t="s">
        <v>341</v>
      </c>
      <c r="L83" s="4" t="s">
        <v>342</v>
      </c>
      <c r="M83" s="3">
        <v>54639</v>
      </c>
      <c r="N83" s="3" t="str">
        <f>"40.621244"</f>
        <v>40.621244</v>
      </c>
      <c r="O83" s="3" t="str">
        <f>"22.959146"</f>
        <v>22.959146</v>
      </c>
      <c r="P83" s="3" t="s">
        <v>23</v>
      </c>
    </row>
    <row r="84" spans="1:16">
      <c r="A84" s="3" t="s">
        <v>33</v>
      </c>
      <c r="B84" s="3" t="str">
        <f>"9190632"</f>
        <v>9190632</v>
      </c>
      <c r="C84" s="4" t="s">
        <v>492</v>
      </c>
      <c r="D84" s="3" t="s">
        <v>17</v>
      </c>
      <c r="E84" s="3" t="s">
        <v>17</v>
      </c>
      <c r="F84" s="3" t="s">
        <v>51</v>
      </c>
      <c r="G84" s="3">
        <v>10</v>
      </c>
      <c r="H84" s="3">
        <v>12</v>
      </c>
      <c r="I84" s="3" t="s">
        <v>16</v>
      </c>
      <c r="J84" s="3">
        <v>2310910652</v>
      </c>
      <c r="K84" s="4" t="s">
        <v>493</v>
      </c>
      <c r="L84" s="4" t="s">
        <v>319</v>
      </c>
      <c r="M84" s="3">
        <v>54454</v>
      </c>
      <c r="N84" s="3" t="str">
        <f>"40.609865"</f>
        <v>40.609865</v>
      </c>
      <c r="O84" s="3" t="str">
        <f>"22.971971"</f>
        <v>22.971971</v>
      </c>
      <c r="P84" s="3" t="s">
        <v>23</v>
      </c>
    </row>
    <row r="85" spans="1:16">
      <c r="A85" s="3" t="s">
        <v>33</v>
      </c>
      <c r="B85" s="3" t="str">
        <f>"9190833"</f>
        <v>9190833</v>
      </c>
      <c r="C85" s="4" t="s">
        <v>266</v>
      </c>
      <c r="D85" s="3" t="s">
        <v>17</v>
      </c>
      <c r="E85" s="3" t="s">
        <v>17</v>
      </c>
      <c r="F85" s="3" t="s">
        <v>51</v>
      </c>
      <c r="G85" s="3">
        <v>12</v>
      </c>
      <c r="H85" s="3">
        <v>12</v>
      </c>
      <c r="I85" s="3" t="s">
        <v>16</v>
      </c>
      <c r="J85" s="3">
        <v>2310918377</v>
      </c>
      <c r="K85" s="4" t="s">
        <v>267</v>
      </c>
      <c r="L85" s="4" t="s">
        <v>268</v>
      </c>
      <c r="M85" s="3">
        <v>54352</v>
      </c>
      <c r="N85" s="3" t="str">
        <f>"40.615841"</f>
        <v>40.615841</v>
      </c>
      <c r="O85" s="3" t="str">
        <f>"22.980408"</f>
        <v>22.980408</v>
      </c>
      <c r="P85" s="3" t="s">
        <v>23</v>
      </c>
    </row>
    <row r="86" spans="1:16">
      <c r="A86" s="3" t="s">
        <v>33</v>
      </c>
      <c r="B86" s="3" t="str">
        <f>"9190635"</f>
        <v>9190635</v>
      </c>
      <c r="C86" s="4" t="s">
        <v>52</v>
      </c>
      <c r="D86" s="3" t="s">
        <v>17</v>
      </c>
      <c r="E86" s="3" t="s">
        <v>17</v>
      </c>
      <c r="F86" s="3" t="s">
        <v>51</v>
      </c>
      <c r="G86" s="3">
        <v>6</v>
      </c>
      <c r="H86" s="3">
        <v>6</v>
      </c>
      <c r="I86" s="3" t="s">
        <v>16</v>
      </c>
      <c r="J86" s="3">
        <v>2310949590</v>
      </c>
      <c r="K86" s="4" t="s">
        <v>53</v>
      </c>
      <c r="L86" s="4" t="s">
        <v>54</v>
      </c>
      <c r="M86" s="3">
        <v>54453</v>
      </c>
      <c r="N86" s="3" t="str">
        <f>"40.616769"</f>
        <v>40.616769</v>
      </c>
      <c r="O86" s="3" t="str">
        <f>"22.966395"</f>
        <v>22.966395</v>
      </c>
      <c r="P86" s="3" t="s">
        <v>23</v>
      </c>
    </row>
    <row r="87" spans="1:16">
      <c r="A87" s="3" t="s">
        <v>33</v>
      </c>
      <c r="B87" s="3" t="str">
        <f>"9190636"</f>
        <v>9190636</v>
      </c>
      <c r="C87" s="4" t="s">
        <v>116</v>
      </c>
      <c r="D87" s="3" t="s">
        <v>17</v>
      </c>
      <c r="E87" s="3" t="s">
        <v>17</v>
      </c>
      <c r="F87" s="3" t="s">
        <v>51</v>
      </c>
      <c r="G87" s="3">
        <v>6</v>
      </c>
      <c r="H87" s="3">
        <v>6</v>
      </c>
      <c r="I87" s="3" t="s">
        <v>16</v>
      </c>
      <c r="J87" s="3">
        <v>2310929844</v>
      </c>
      <c r="K87" s="4" t="s">
        <v>117</v>
      </c>
      <c r="L87" s="4" t="s">
        <v>118</v>
      </c>
      <c r="M87" s="3">
        <v>54453</v>
      </c>
      <c r="N87" s="3" t="str">
        <f>"40.610643"</f>
        <v>40.610643</v>
      </c>
      <c r="O87" s="3" t="str">
        <f>"22.966397"</f>
        <v>22.966397</v>
      </c>
      <c r="P87" s="3" t="s">
        <v>23</v>
      </c>
    </row>
    <row r="88" spans="1:16">
      <c r="A88" s="5" t="s">
        <v>33</v>
      </c>
      <c r="B88" s="5" t="str">
        <f>"9190648"</f>
        <v>9190648</v>
      </c>
      <c r="C88" s="6" t="s">
        <v>588</v>
      </c>
      <c r="D88" s="5" t="s">
        <v>17</v>
      </c>
      <c r="E88" s="5" t="s">
        <v>17</v>
      </c>
      <c r="F88" s="5" t="s">
        <v>51</v>
      </c>
      <c r="G88" s="5">
        <v>1</v>
      </c>
      <c r="H88" s="5">
        <v>6</v>
      </c>
      <c r="I88" s="5" t="s">
        <v>16</v>
      </c>
      <c r="J88" s="6" t="s">
        <v>56</v>
      </c>
      <c r="K88" s="6" t="s">
        <v>56</v>
      </c>
      <c r="L88" s="6" t="s">
        <v>937</v>
      </c>
      <c r="M88" s="6" t="s">
        <v>56</v>
      </c>
      <c r="N88" s="6" t="s">
        <v>56</v>
      </c>
      <c r="O88" s="6" t="s">
        <v>56</v>
      </c>
      <c r="P88" s="5" t="s">
        <v>24</v>
      </c>
    </row>
    <row r="89" spans="1:16">
      <c r="A89" s="3" t="s">
        <v>33</v>
      </c>
      <c r="B89" s="3" t="str">
        <f>"9190506"</f>
        <v>9190506</v>
      </c>
      <c r="C89" s="4" t="s">
        <v>424</v>
      </c>
      <c r="D89" s="3" t="s">
        <v>17</v>
      </c>
      <c r="E89" s="3" t="s">
        <v>17</v>
      </c>
      <c r="F89" s="3" t="s">
        <v>51</v>
      </c>
      <c r="G89" s="3">
        <v>13</v>
      </c>
      <c r="H89" s="3">
        <v>12</v>
      </c>
      <c r="I89" s="3" t="s">
        <v>16</v>
      </c>
      <c r="J89" s="3">
        <v>2310917217</v>
      </c>
      <c r="K89" s="4" t="s">
        <v>425</v>
      </c>
      <c r="L89" s="4" t="s">
        <v>426</v>
      </c>
      <c r="M89" s="3">
        <v>54453</v>
      </c>
      <c r="N89" s="3" t="str">
        <f>"40.605470"</f>
        <v>40.605470</v>
      </c>
      <c r="O89" s="3" t="str">
        <f>"22.971802"</f>
        <v>22.971802</v>
      </c>
      <c r="P89" s="3" t="s">
        <v>23</v>
      </c>
    </row>
    <row r="90" spans="1:16">
      <c r="A90" s="3" t="s">
        <v>33</v>
      </c>
      <c r="B90" s="3" t="str">
        <f>"9190870"</f>
        <v>9190870</v>
      </c>
      <c r="C90" s="4" t="s">
        <v>473</v>
      </c>
      <c r="D90" s="3" t="s">
        <v>17</v>
      </c>
      <c r="E90" s="3" t="s">
        <v>17</v>
      </c>
      <c r="F90" s="3" t="s">
        <v>51</v>
      </c>
      <c r="G90" s="3">
        <v>3</v>
      </c>
      <c r="H90" s="3">
        <v>3</v>
      </c>
      <c r="I90" s="3" t="s">
        <v>16</v>
      </c>
      <c r="J90" s="3">
        <v>2310856655</v>
      </c>
      <c r="K90" s="4" t="s">
        <v>474</v>
      </c>
      <c r="L90" s="4" t="s">
        <v>475</v>
      </c>
      <c r="M90" s="3">
        <v>54642</v>
      </c>
      <c r="N90" s="3" t="str">
        <f>"40.611484"</f>
        <v>40.611484</v>
      </c>
      <c r="O90" s="3" t="str">
        <f>"22.961733"</f>
        <v>22.961733</v>
      </c>
      <c r="P90" s="3" t="s">
        <v>23</v>
      </c>
    </row>
    <row r="91" spans="1:16">
      <c r="A91" s="3" t="s">
        <v>33</v>
      </c>
      <c r="B91" s="3" t="str">
        <f>"9190757"</f>
        <v>9190757</v>
      </c>
      <c r="C91" s="4" t="s">
        <v>853</v>
      </c>
      <c r="D91" s="3" t="s">
        <v>17</v>
      </c>
      <c r="E91" s="3" t="s">
        <v>17</v>
      </c>
      <c r="F91" s="3" t="s">
        <v>90</v>
      </c>
      <c r="G91" s="3">
        <v>12</v>
      </c>
      <c r="H91" s="3">
        <v>12</v>
      </c>
      <c r="I91" s="3" t="s">
        <v>16</v>
      </c>
      <c r="J91" s="3">
        <v>2310310855</v>
      </c>
      <c r="K91" s="4" t="s">
        <v>854</v>
      </c>
      <c r="L91" s="4" t="s">
        <v>855</v>
      </c>
      <c r="M91" s="3">
        <v>54249</v>
      </c>
      <c r="N91" s="3" t="str">
        <f>"40.605618"</f>
        <v>40.605618</v>
      </c>
      <c r="O91" s="3" t="str">
        <f>"22.965086"</f>
        <v>22.965086</v>
      </c>
      <c r="P91" s="3" t="s">
        <v>23</v>
      </c>
    </row>
    <row r="92" spans="1:16">
      <c r="A92" s="3" t="s">
        <v>33</v>
      </c>
      <c r="B92" s="3" t="str">
        <f>"9190004"</f>
        <v>9190004</v>
      </c>
      <c r="C92" s="4" t="s">
        <v>205</v>
      </c>
      <c r="D92" s="3" t="s">
        <v>17</v>
      </c>
      <c r="E92" s="3" t="s">
        <v>17</v>
      </c>
      <c r="F92" s="3" t="s">
        <v>90</v>
      </c>
      <c r="G92" s="3">
        <v>12</v>
      </c>
      <c r="H92" s="3">
        <v>12</v>
      </c>
      <c r="I92" s="3" t="s">
        <v>16</v>
      </c>
      <c r="J92" s="3">
        <v>2310831625</v>
      </c>
      <c r="K92" s="4" t="s">
        <v>206</v>
      </c>
      <c r="L92" s="4" t="s">
        <v>207</v>
      </c>
      <c r="M92" s="3">
        <v>54640</v>
      </c>
      <c r="N92" s="3" t="str">
        <f>"40.616349"</f>
        <v>40.616349</v>
      </c>
      <c r="O92" s="3" t="str">
        <f>"22.957715"</f>
        <v>22.957715</v>
      </c>
      <c r="P92" s="3" t="s">
        <v>23</v>
      </c>
    </row>
    <row r="93" spans="1:16">
      <c r="A93" s="3" t="s">
        <v>33</v>
      </c>
      <c r="B93" s="3" t="str">
        <f>"9190038"</f>
        <v>9190038</v>
      </c>
      <c r="C93" s="4" t="s">
        <v>839</v>
      </c>
      <c r="D93" s="3" t="s">
        <v>17</v>
      </c>
      <c r="E93" s="3" t="s">
        <v>17</v>
      </c>
      <c r="F93" s="3" t="s">
        <v>90</v>
      </c>
      <c r="G93" s="3">
        <v>10</v>
      </c>
      <c r="H93" s="3">
        <v>12</v>
      </c>
      <c r="I93" s="3" t="s">
        <v>16</v>
      </c>
      <c r="J93" s="3">
        <v>2310831710</v>
      </c>
      <c r="K93" s="4" t="s">
        <v>840</v>
      </c>
      <c r="L93" s="4" t="s">
        <v>841</v>
      </c>
      <c r="M93" s="3">
        <v>54639</v>
      </c>
      <c r="N93" s="3" t="str">
        <f>"40.614756"</f>
        <v>40.614756</v>
      </c>
      <c r="O93" s="3" t="str">
        <f>"22.960668"</f>
        <v>22.960668</v>
      </c>
      <c r="P93" s="3" t="s">
        <v>23</v>
      </c>
    </row>
    <row r="94" spans="1:16">
      <c r="A94" s="3" t="s">
        <v>33</v>
      </c>
      <c r="B94" s="3" t="str">
        <f>"9190040"</f>
        <v>9190040</v>
      </c>
      <c r="C94" s="4" t="s">
        <v>246</v>
      </c>
      <c r="D94" s="3" t="s">
        <v>17</v>
      </c>
      <c r="E94" s="3" t="s">
        <v>17</v>
      </c>
      <c r="F94" s="3" t="s">
        <v>90</v>
      </c>
      <c r="G94" s="3">
        <v>12</v>
      </c>
      <c r="H94" s="3">
        <v>12</v>
      </c>
      <c r="I94" s="3" t="s">
        <v>16</v>
      </c>
      <c r="J94" s="3">
        <v>2310300178</v>
      </c>
      <c r="K94" s="4" t="s">
        <v>247</v>
      </c>
      <c r="L94" s="4" t="s">
        <v>248</v>
      </c>
      <c r="M94" s="3">
        <v>54249</v>
      </c>
      <c r="N94" s="3" t="str">
        <f>"40.600980"</f>
        <v>40.600980</v>
      </c>
      <c r="O94" s="3" t="str">
        <f>"22.968956"</f>
        <v>22.968956</v>
      </c>
      <c r="P94" s="3" t="s">
        <v>23</v>
      </c>
    </row>
    <row r="95" spans="1:16">
      <c r="A95" s="3" t="s">
        <v>33</v>
      </c>
      <c r="B95" s="3" t="str">
        <f>"9190548"</f>
        <v>9190548</v>
      </c>
      <c r="C95" s="4" t="s">
        <v>739</v>
      </c>
      <c r="D95" s="3" t="s">
        <v>17</v>
      </c>
      <c r="E95" s="3" t="s">
        <v>17</v>
      </c>
      <c r="F95" s="3" t="s">
        <v>90</v>
      </c>
      <c r="G95" s="3">
        <v>11</v>
      </c>
      <c r="H95" s="3">
        <v>12</v>
      </c>
      <c r="I95" s="3" t="s">
        <v>16</v>
      </c>
      <c r="J95" s="3">
        <v>2310317200</v>
      </c>
      <c r="K95" s="4" t="s">
        <v>740</v>
      </c>
      <c r="L95" s="4" t="s">
        <v>741</v>
      </c>
      <c r="M95" s="3">
        <v>54248</v>
      </c>
      <c r="N95" s="3" t="str">
        <f>"40.598566"</f>
        <v>40.598566</v>
      </c>
      <c r="O95" s="3" t="str">
        <f>"22.959493"</f>
        <v>22.959493</v>
      </c>
      <c r="P95" s="3" t="s">
        <v>23</v>
      </c>
    </row>
    <row r="96" spans="1:16">
      <c r="A96" s="3" t="s">
        <v>33</v>
      </c>
      <c r="B96" s="3" t="str">
        <f>"9190001"</f>
        <v>9190001</v>
      </c>
      <c r="C96" s="4" t="s">
        <v>554</v>
      </c>
      <c r="D96" s="3" t="s">
        <v>17</v>
      </c>
      <c r="E96" s="3" t="s">
        <v>17</v>
      </c>
      <c r="F96" s="3" t="s">
        <v>90</v>
      </c>
      <c r="G96" s="3">
        <v>12</v>
      </c>
      <c r="H96" s="3">
        <v>12</v>
      </c>
      <c r="I96" s="3" t="s">
        <v>16</v>
      </c>
      <c r="J96" s="3">
        <v>2310411696</v>
      </c>
      <c r="K96" s="4" t="s">
        <v>555</v>
      </c>
      <c r="L96" s="4" t="s">
        <v>556</v>
      </c>
      <c r="M96" s="3">
        <v>54655</v>
      </c>
      <c r="N96" s="3" t="str">
        <f>"40.593788"</f>
        <v>40.593788</v>
      </c>
      <c r="O96" s="3" t="str">
        <f>"22.959440"</f>
        <v>22.959440</v>
      </c>
      <c r="P96" s="3" t="s">
        <v>23</v>
      </c>
    </row>
    <row r="97" spans="1:16">
      <c r="A97" s="3" t="s">
        <v>33</v>
      </c>
      <c r="B97" s="3" t="str">
        <f>"9190504"</f>
        <v>9190504</v>
      </c>
      <c r="C97" s="4" t="s">
        <v>607</v>
      </c>
      <c r="D97" s="3" t="s">
        <v>17</v>
      </c>
      <c r="E97" s="3" t="s">
        <v>17</v>
      </c>
      <c r="F97" s="3" t="s">
        <v>90</v>
      </c>
      <c r="G97" s="3">
        <v>8</v>
      </c>
      <c r="H97" s="3">
        <v>7</v>
      </c>
      <c r="I97" s="3" t="s">
        <v>16</v>
      </c>
      <c r="J97" s="3">
        <v>2310817185</v>
      </c>
      <c r="K97" s="4" t="s">
        <v>608</v>
      </c>
      <c r="L97" s="4" t="s">
        <v>609</v>
      </c>
      <c r="M97" s="3">
        <v>54641</v>
      </c>
      <c r="N97" s="3" t="str">
        <f>"40.614637"</f>
        <v>40.614637</v>
      </c>
      <c r="O97" s="3" t="str">
        <f>"22.953021"</f>
        <v>22.953021</v>
      </c>
      <c r="P97" s="3" t="s">
        <v>23</v>
      </c>
    </row>
    <row r="98" spans="1:16">
      <c r="A98" s="3" t="s">
        <v>33</v>
      </c>
      <c r="B98" s="3" t="str">
        <f>"9190552"</f>
        <v>9190552</v>
      </c>
      <c r="C98" s="4" t="s">
        <v>842</v>
      </c>
      <c r="D98" s="3" t="s">
        <v>17</v>
      </c>
      <c r="E98" s="3" t="s">
        <v>17</v>
      </c>
      <c r="F98" s="3" t="s">
        <v>90</v>
      </c>
      <c r="G98" s="3">
        <v>12</v>
      </c>
      <c r="H98" s="3">
        <v>12</v>
      </c>
      <c r="I98" s="3" t="s">
        <v>16</v>
      </c>
      <c r="J98" s="3">
        <v>2310316346</v>
      </c>
      <c r="K98" s="4" t="s">
        <v>843</v>
      </c>
      <c r="L98" s="4" t="s">
        <v>634</v>
      </c>
      <c r="M98" s="3">
        <v>54250</v>
      </c>
      <c r="N98" s="3" t="str">
        <f>"40.596205"</f>
        <v>40.596205</v>
      </c>
      <c r="O98" s="3" t="str">
        <f>"22.974442"</f>
        <v>22.974442</v>
      </c>
      <c r="P98" s="3" t="s">
        <v>23</v>
      </c>
    </row>
    <row r="99" spans="1:16">
      <c r="A99" s="3" t="s">
        <v>33</v>
      </c>
      <c r="B99" s="3" t="str">
        <f>"9190173"</f>
        <v>9190173</v>
      </c>
      <c r="C99" s="4" t="s">
        <v>214</v>
      </c>
      <c r="D99" s="3" t="s">
        <v>17</v>
      </c>
      <c r="E99" s="3" t="s">
        <v>17</v>
      </c>
      <c r="F99" s="3" t="s">
        <v>90</v>
      </c>
      <c r="G99" s="3">
        <v>17</v>
      </c>
      <c r="H99" s="3">
        <v>14</v>
      </c>
      <c r="I99" s="3" t="s">
        <v>16</v>
      </c>
      <c r="J99" s="3">
        <v>2310472702</v>
      </c>
      <c r="K99" s="4" t="s">
        <v>215</v>
      </c>
      <c r="L99" s="4" t="s">
        <v>216</v>
      </c>
      <c r="M99" s="3">
        <v>55536</v>
      </c>
      <c r="N99" s="3" t="str">
        <f>"40.576709"</f>
        <v>40.576709</v>
      </c>
      <c r="O99" s="3" t="str">
        <f>"22.986931"</f>
        <v>22.986931</v>
      </c>
      <c r="P99" s="3" t="s">
        <v>23</v>
      </c>
    </row>
    <row r="100" spans="1:16">
      <c r="A100" s="3" t="s">
        <v>33</v>
      </c>
      <c r="B100" s="3" t="str">
        <f>"9190008"</f>
        <v>9190008</v>
      </c>
      <c r="C100" s="4" t="s">
        <v>831</v>
      </c>
      <c r="D100" s="3" t="s">
        <v>17</v>
      </c>
      <c r="E100" s="3" t="s">
        <v>17</v>
      </c>
      <c r="F100" s="3" t="s">
        <v>90</v>
      </c>
      <c r="G100" s="3">
        <v>12</v>
      </c>
      <c r="H100" s="3">
        <v>12</v>
      </c>
      <c r="I100" s="3" t="s">
        <v>16</v>
      </c>
      <c r="J100" s="3">
        <v>2310302838</v>
      </c>
      <c r="K100" s="4" t="s">
        <v>832</v>
      </c>
      <c r="L100" s="4" t="s">
        <v>741</v>
      </c>
      <c r="M100" s="3">
        <v>54248</v>
      </c>
      <c r="N100" s="3" t="str">
        <f>"40.598169"</f>
        <v>40.598169</v>
      </c>
      <c r="O100" s="3" t="str">
        <f>"22.959933"</f>
        <v>22.959933</v>
      </c>
      <c r="P100" s="3" t="s">
        <v>23</v>
      </c>
    </row>
    <row r="101" spans="1:16">
      <c r="A101" s="3" t="s">
        <v>33</v>
      </c>
      <c r="B101" s="3" t="str">
        <f>"9190009"</f>
        <v>9190009</v>
      </c>
      <c r="C101" s="4" t="s">
        <v>94</v>
      </c>
      <c r="D101" s="3" t="s">
        <v>17</v>
      </c>
      <c r="E101" s="3" t="s">
        <v>17</v>
      </c>
      <c r="F101" s="3" t="s">
        <v>90</v>
      </c>
      <c r="G101" s="3">
        <v>10</v>
      </c>
      <c r="H101" s="3">
        <v>10</v>
      </c>
      <c r="I101" s="3" t="s">
        <v>16</v>
      </c>
      <c r="J101" s="3">
        <v>2310831344</v>
      </c>
      <c r="K101" s="4" t="s">
        <v>95</v>
      </c>
      <c r="L101" s="4" t="s">
        <v>96</v>
      </c>
      <c r="M101" s="3">
        <v>54248</v>
      </c>
      <c r="N101" s="3" t="str">
        <f>"40.603081"</f>
        <v>40.603081</v>
      </c>
      <c r="O101" s="3" t="str">
        <f>"22.958669"</f>
        <v>22.958669</v>
      </c>
      <c r="P101" s="3" t="s">
        <v>23</v>
      </c>
    </row>
    <row r="102" spans="1:16">
      <c r="A102" s="3" t="s">
        <v>33</v>
      </c>
      <c r="B102" s="3" t="str">
        <f>"9190011"</f>
        <v>9190011</v>
      </c>
      <c r="C102" s="4" t="s">
        <v>850</v>
      </c>
      <c r="D102" s="3" t="s">
        <v>17</v>
      </c>
      <c r="E102" s="3" t="s">
        <v>17</v>
      </c>
      <c r="F102" s="3" t="s">
        <v>90</v>
      </c>
      <c r="G102" s="3">
        <v>6</v>
      </c>
      <c r="H102" s="3">
        <v>6</v>
      </c>
      <c r="I102" s="3" t="s">
        <v>16</v>
      </c>
      <c r="J102" s="3">
        <v>2310813010</v>
      </c>
      <c r="K102" s="4" t="s">
        <v>851</v>
      </c>
      <c r="L102" s="4" t="s">
        <v>852</v>
      </c>
      <c r="M102" s="3">
        <v>54643</v>
      </c>
      <c r="N102" s="3" t="str">
        <f>"40.605476"</f>
        <v>40.605476</v>
      </c>
      <c r="O102" s="3" t="str">
        <f>"22.957656"</f>
        <v>22.957656</v>
      </c>
      <c r="P102" s="3" t="s">
        <v>23</v>
      </c>
    </row>
    <row r="103" spans="1:16">
      <c r="A103" s="3" t="s">
        <v>33</v>
      </c>
      <c r="B103" s="3" t="str">
        <f>"9190625"</f>
        <v>9190625</v>
      </c>
      <c r="C103" s="4" t="s">
        <v>422</v>
      </c>
      <c r="D103" s="3" t="s">
        <v>17</v>
      </c>
      <c r="E103" s="3" t="s">
        <v>17</v>
      </c>
      <c r="F103" s="3" t="s">
        <v>90</v>
      </c>
      <c r="G103" s="3">
        <v>7</v>
      </c>
      <c r="H103" s="3">
        <v>6</v>
      </c>
      <c r="I103" s="3" t="s">
        <v>16</v>
      </c>
      <c r="J103" s="3">
        <v>2310309714</v>
      </c>
      <c r="K103" s="4" t="s">
        <v>423</v>
      </c>
      <c r="L103" s="4" t="s">
        <v>248</v>
      </c>
      <c r="M103" s="3">
        <v>54249</v>
      </c>
      <c r="N103" s="3" t="str">
        <f>"40.601484"</f>
        <v>40.601484</v>
      </c>
      <c r="O103" s="3" t="str">
        <f>"22.968830"</f>
        <v>22.968830</v>
      </c>
      <c r="P103" s="3" t="s">
        <v>23</v>
      </c>
    </row>
    <row r="104" spans="1:16">
      <c r="A104" s="3" t="s">
        <v>33</v>
      </c>
      <c r="B104" s="3" t="str">
        <f>"9190056"</f>
        <v>9190056</v>
      </c>
      <c r="C104" s="4" t="s">
        <v>122</v>
      </c>
      <c r="D104" s="3" t="s">
        <v>17</v>
      </c>
      <c r="E104" s="3" t="s">
        <v>17</v>
      </c>
      <c r="F104" s="3" t="s">
        <v>90</v>
      </c>
      <c r="G104" s="3">
        <v>12</v>
      </c>
      <c r="H104" s="3">
        <v>12</v>
      </c>
      <c r="I104" s="3" t="s">
        <v>16</v>
      </c>
      <c r="J104" s="3">
        <v>2311236526</v>
      </c>
      <c r="K104" s="4" t="s">
        <v>123</v>
      </c>
      <c r="L104" s="4" t="s">
        <v>124</v>
      </c>
      <c r="M104" s="3">
        <v>54250</v>
      </c>
      <c r="N104" s="3" t="str">
        <f>"40.601344"</f>
        <v>40.601344</v>
      </c>
      <c r="O104" s="3" t="str">
        <f>"22.971312"</f>
        <v>22.971312</v>
      </c>
      <c r="P104" s="3" t="s">
        <v>23</v>
      </c>
    </row>
    <row r="105" spans="1:16">
      <c r="A105" s="3" t="s">
        <v>33</v>
      </c>
      <c r="B105" s="3" t="str">
        <f>"9190015"</f>
        <v>9190015</v>
      </c>
      <c r="C105" s="4" t="s">
        <v>531</v>
      </c>
      <c r="D105" s="3" t="s">
        <v>17</v>
      </c>
      <c r="E105" s="3" t="s">
        <v>17</v>
      </c>
      <c r="F105" s="3" t="s">
        <v>90</v>
      </c>
      <c r="G105" s="3">
        <v>7</v>
      </c>
      <c r="H105" s="3">
        <v>9</v>
      </c>
      <c r="I105" s="3" t="s">
        <v>16</v>
      </c>
      <c r="J105" s="3">
        <v>2310811452</v>
      </c>
      <c r="K105" s="4" t="s">
        <v>532</v>
      </c>
      <c r="L105" s="4" t="s">
        <v>533</v>
      </c>
      <c r="M105" s="3">
        <v>54248</v>
      </c>
      <c r="N105" s="3" t="str">
        <f>"40.603667"</f>
        <v>40.603667</v>
      </c>
      <c r="O105" s="3" t="str">
        <f>"22.958578"</f>
        <v>22.958578</v>
      </c>
      <c r="P105" s="3" t="s">
        <v>23</v>
      </c>
    </row>
    <row r="106" spans="1:16">
      <c r="A106" s="3" t="s">
        <v>33</v>
      </c>
      <c r="B106" s="3" t="str">
        <f>"9190418"</f>
        <v>9190418</v>
      </c>
      <c r="C106" s="4" t="s">
        <v>592</v>
      </c>
      <c r="D106" s="3" t="s">
        <v>17</v>
      </c>
      <c r="E106" s="3" t="s">
        <v>17</v>
      </c>
      <c r="F106" s="3" t="s">
        <v>90</v>
      </c>
      <c r="G106" s="3">
        <v>12</v>
      </c>
      <c r="H106" s="3">
        <v>12</v>
      </c>
      <c r="I106" s="3" t="s">
        <v>16</v>
      </c>
      <c r="J106" s="3">
        <v>2310823667</v>
      </c>
      <c r="K106" s="4" t="s">
        <v>593</v>
      </c>
      <c r="L106" s="4" t="s">
        <v>594</v>
      </c>
      <c r="M106" s="3">
        <v>54645</v>
      </c>
      <c r="N106" s="3" t="str">
        <f>"40.598570"</f>
        <v>40.598570</v>
      </c>
      <c r="O106" s="3" t="str">
        <f>"22.951355"</f>
        <v>22.951355</v>
      </c>
      <c r="P106" s="3" t="s">
        <v>23</v>
      </c>
    </row>
    <row r="107" spans="1:16">
      <c r="A107" s="3" t="s">
        <v>33</v>
      </c>
      <c r="B107" s="3" t="str">
        <f>"9190419"</f>
        <v>9190419</v>
      </c>
      <c r="C107" s="4" t="s">
        <v>328</v>
      </c>
      <c r="D107" s="3" t="s">
        <v>17</v>
      </c>
      <c r="E107" s="3" t="s">
        <v>17</v>
      </c>
      <c r="F107" s="3" t="s">
        <v>90</v>
      </c>
      <c r="G107" s="3">
        <v>13</v>
      </c>
      <c r="H107" s="3">
        <v>12</v>
      </c>
      <c r="I107" s="3" t="s">
        <v>16</v>
      </c>
      <c r="J107" s="3">
        <v>2310826959</v>
      </c>
      <c r="K107" s="4" t="s">
        <v>329</v>
      </c>
      <c r="L107" s="4" t="s">
        <v>330</v>
      </c>
      <c r="M107" s="3">
        <v>54248</v>
      </c>
      <c r="N107" s="3" t="str">
        <f>"40.602400"</f>
        <v>40.602400</v>
      </c>
      <c r="O107" s="3" t="str">
        <f>"22.960642"</f>
        <v>22.960642</v>
      </c>
      <c r="P107" s="3" t="s">
        <v>23</v>
      </c>
    </row>
    <row r="108" spans="1:16">
      <c r="A108" s="3" t="s">
        <v>33</v>
      </c>
      <c r="B108" s="3" t="str">
        <f>"9190420"</f>
        <v>9190420</v>
      </c>
      <c r="C108" s="4" t="s">
        <v>844</v>
      </c>
      <c r="D108" s="3" t="s">
        <v>17</v>
      </c>
      <c r="E108" s="3" t="s">
        <v>17</v>
      </c>
      <c r="F108" s="3" t="s">
        <v>90</v>
      </c>
      <c r="G108" s="3">
        <v>6</v>
      </c>
      <c r="H108" s="3">
        <v>6</v>
      </c>
      <c r="I108" s="3" t="s">
        <v>16</v>
      </c>
      <c r="J108" s="3">
        <v>2310840895</v>
      </c>
      <c r="K108" s="4" t="s">
        <v>845</v>
      </c>
      <c r="L108" s="4" t="s">
        <v>846</v>
      </c>
      <c r="M108" s="3">
        <v>54643</v>
      </c>
      <c r="N108" s="3" t="str">
        <f>"40.607745"</f>
        <v>40.607745</v>
      </c>
      <c r="O108" s="3" t="str">
        <f>"22.952829"</f>
        <v>22.952829</v>
      </c>
      <c r="P108" s="3" t="s">
        <v>23</v>
      </c>
    </row>
    <row r="109" spans="1:16">
      <c r="A109" s="3" t="s">
        <v>33</v>
      </c>
      <c r="B109" s="3" t="str">
        <f>"9190014"</f>
        <v>9190014</v>
      </c>
      <c r="C109" s="4" t="s">
        <v>372</v>
      </c>
      <c r="D109" s="3" t="s">
        <v>17</v>
      </c>
      <c r="E109" s="3" t="s">
        <v>17</v>
      </c>
      <c r="F109" s="3" t="s">
        <v>90</v>
      </c>
      <c r="G109" s="3">
        <v>16</v>
      </c>
      <c r="H109" s="3">
        <v>16</v>
      </c>
      <c r="I109" s="3" t="s">
        <v>16</v>
      </c>
      <c r="J109" s="3">
        <v>2310851715</v>
      </c>
      <c r="K109" s="4" t="s">
        <v>373</v>
      </c>
      <c r="L109" s="4" t="s">
        <v>374</v>
      </c>
      <c r="M109" s="3">
        <v>54642</v>
      </c>
      <c r="N109" s="3" t="str">
        <f>"40.609722"</f>
        <v>40.609722</v>
      </c>
      <c r="O109" s="3" t="str">
        <f>"22.956335"</f>
        <v>22.956335</v>
      </c>
      <c r="P109" s="3" t="s">
        <v>23</v>
      </c>
    </row>
    <row r="110" spans="1:16">
      <c r="A110" s="3" t="s">
        <v>33</v>
      </c>
      <c r="B110" s="3" t="str">
        <f>"9190421"</f>
        <v>9190421</v>
      </c>
      <c r="C110" s="4" t="s">
        <v>91</v>
      </c>
      <c r="D110" s="3" t="s">
        <v>17</v>
      </c>
      <c r="E110" s="3" t="s">
        <v>17</v>
      </c>
      <c r="F110" s="3" t="s">
        <v>90</v>
      </c>
      <c r="G110" s="3">
        <v>8</v>
      </c>
      <c r="H110" s="3">
        <v>12</v>
      </c>
      <c r="I110" s="3" t="s">
        <v>16</v>
      </c>
      <c r="J110" s="3">
        <v>2310840150</v>
      </c>
      <c r="K110" s="4" t="s">
        <v>92</v>
      </c>
      <c r="L110" s="4" t="s">
        <v>93</v>
      </c>
      <c r="M110" s="3">
        <v>54644</v>
      </c>
      <c r="N110" s="3" t="str">
        <f>"40.607432"</f>
        <v>40.607432</v>
      </c>
      <c r="O110" s="3" t="str">
        <f>"22.959878"</f>
        <v>22.959878</v>
      </c>
      <c r="P110" s="3" t="s">
        <v>23</v>
      </c>
    </row>
    <row r="111" spans="1:16">
      <c r="A111" s="3" t="s">
        <v>33</v>
      </c>
      <c r="B111" s="3" t="str">
        <f>"9190534"</f>
        <v>9190534</v>
      </c>
      <c r="C111" s="4" t="s">
        <v>847</v>
      </c>
      <c r="D111" s="3" t="s">
        <v>17</v>
      </c>
      <c r="E111" s="3" t="s">
        <v>17</v>
      </c>
      <c r="F111" s="3" t="s">
        <v>90</v>
      </c>
      <c r="G111" s="3">
        <v>10</v>
      </c>
      <c r="H111" s="3">
        <v>12</v>
      </c>
      <c r="I111" s="3" t="s">
        <v>16</v>
      </c>
      <c r="J111" s="3">
        <v>2311230144</v>
      </c>
      <c r="K111" s="4" t="s">
        <v>848</v>
      </c>
      <c r="L111" s="4" t="s">
        <v>849</v>
      </c>
      <c r="M111" s="3">
        <v>54655</v>
      </c>
      <c r="N111" s="3" t="str">
        <f>"40.595056"</f>
        <v>40.595056</v>
      </c>
      <c r="O111" s="3" t="str">
        <f>"22.958468"</f>
        <v>22.958468</v>
      </c>
      <c r="P111" s="3" t="s">
        <v>23</v>
      </c>
    </row>
    <row r="112" spans="1:16">
      <c r="A112" s="3" t="s">
        <v>33</v>
      </c>
      <c r="B112" s="3" t="str">
        <f>"9190017"</f>
        <v>9190017</v>
      </c>
      <c r="C112" s="4" t="s">
        <v>208</v>
      </c>
      <c r="D112" s="3" t="s">
        <v>17</v>
      </c>
      <c r="E112" s="3" t="s">
        <v>17</v>
      </c>
      <c r="F112" s="3" t="s">
        <v>90</v>
      </c>
      <c r="G112" s="3">
        <v>11</v>
      </c>
      <c r="H112" s="3">
        <v>12</v>
      </c>
      <c r="I112" s="3" t="s">
        <v>16</v>
      </c>
      <c r="J112" s="3">
        <v>2310843229</v>
      </c>
      <c r="K112" s="4" t="s">
        <v>209</v>
      </c>
      <c r="L112" s="4" t="s">
        <v>210</v>
      </c>
      <c r="M112" s="3">
        <v>54641</v>
      </c>
      <c r="N112" s="3" t="str">
        <f>"40.613986"</f>
        <v>40.613986</v>
      </c>
      <c r="O112" s="3" t="str">
        <f>"22.957779"</f>
        <v>22.957779</v>
      </c>
      <c r="P112" s="3" t="s">
        <v>23</v>
      </c>
    </row>
    <row r="113" spans="1:16">
      <c r="A113" s="3" t="s">
        <v>33</v>
      </c>
      <c r="B113" s="3" t="str">
        <f>"9190035"</f>
        <v>9190035</v>
      </c>
      <c r="C113" s="4" t="s">
        <v>400</v>
      </c>
      <c r="D113" s="3" t="s">
        <v>17</v>
      </c>
      <c r="E113" s="3" t="s">
        <v>17</v>
      </c>
      <c r="F113" s="3" t="s">
        <v>90</v>
      </c>
      <c r="G113" s="3">
        <v>4</v>
      </c>
      <c r="H113" s="3">
        <v>6</v>
      </c>
      <c r="I113" s="3" t="s">
        <v>16</v>
      </c>
      <c r="J113" s="3">
        <v>2310857722</v>
      </c>
      <c r="K113" s="4" t="s">
        <v>401</v>
      </c>
      <c r="L113" s="4" t="s">
        <v>402</v>
      </c>
      <c r="M113" s="3">
        <v>54641</v>
      </c>
      <c r="N113" s="3" t="str">
        <f>"40.613757"</f>
        <v>40.613757</v>
      </c>
      <c r="O113" s="3" t="str">
        <f>"22.953616"</f>
        <v>22.953616</v>
      </c>
      <c r="P113" s="3" t="s">
        <v>23</v>
      </c>
    </row>
    <row r="114" spans="1:16">
      <c r="A114" s="3" t="s">
        <v>33</v>
      </c>
      <c r="B114" s="3" t="str">
        <f>"9190193"</f>
        <v>9190193</v>
      </c>
      <c r="C114" s="4" t="s">
        <v>637</v>
      </c>
      <c r="D114" s="3" t="s">
        <v>17</v>
      </c>
      <c r="E114" s="3" t="s">
        <v>275</v>
      </c>
      <c r="F114" s="3" t="s">
        <v>275</v>
      </c>
      <c r="G114" s="3">
        <v>11</v>
      </c>
      <c r="H114" s="3">
        <v>10</v>
      </c>
      <c r="I114" s="3" t="s">
        <v>16</v>
      </c>
      <c r="J114" s="3">
        <v>2310912154</v>
      </c>
      <c r="K114" s="4" t="s">
        <v>638</v>
      </c>
      <c r="L114" s="4" t="s">
        <v>639</v>
      </c>
      <c r="M114" s="3">
        <v>55337</v>
      </c>
      <c r="N114" s="3" t="str">
        <f>"40.620543"</f>
        <v>40.620543</v>
      </c>
      <c r="O114" s="3" t="str">
        <f>"22.970428"</f>
        <v>22.970428</v>
      </c>
      <c r="P114" s="3" t="s">
        <v>23</v>
      </c>
    </row>
    <row r="115" spans="1:16">
      <c r="A115" s="3" t="s">
        <v>33</v>
      </c>
      <c r="B115" s="3" t="str">
        <f>"9190194"</f>
        <v>9190194</v>
      </c>
      <c r="C115" s="4" t="s">
        <v>642</v>
      </c>
      <c r="D115" s="3" t="s">
        <v>17</v>
      </c>
      <c r="E115" s="3" t="s">
        <v>275</v>
      </c>
      <c r="F115" s="3" t="s">
        <v>275</v>
      </c>
      <c r="G115" s="3">
        <v>6</v>
      </c>
      <c r="H115" s="3">
        <v>6</v>
      </c>
      <c r="I115" s="3" t="s">
        <v>16</v>
      </c>
      <c r="J115" s="3">
        <v>2310912573</v>
      </c>
      <c r="K115" s="4" t="s">
        <v>643</v>
      </c>
      <c r="L115" s="4" t="s">
        <v>644</v>
      </c>
      <c r="M115" s="3">
        <v>55337</v>
      </c>
      <c r="N115" s="3" t="str">
        <f>"40.622366"</f>
        <v>40.622366</v>
      </c>
      <c r="O115" s="3" t="str">
        <f>"22.974896"</f>
        <v>22.974896</v>
      </c>
      <c r="P115" s="3" t="s">
        <v>23</v>
      </c>
    </row>
    <row r="116" spans="1:16">
      <c r="A116" s="3" t="s">
        <v>33</v>
      </c>
      <c r="B116" s="3" t="str">
        <f>"9190639"</f>
        <v>9190639</v>
      </c>
      <c r="C116" s="4" t="s">
        <v>704</v>
      </c>
      <c r="D116" s="3" t="s">
        <v>17</v>
      </c>
      <c r="E116" s="3" t="s">
        <v>275</v>
      </c>
      <c r="F116" s="3" t="s">
        <v>275</v>
      </c>
      <c r="G116" s="3">
        <v>6</v>
      </c>
      <c r="H116" s="3">
        <v>6</v>
      </c>
      <c r="I116" s="3" t="s">
        <v>16</v>
      </c>
      <c r="J116" s="3">
        <v>2310936946</v>
      </c>
      <c r="K116" s="4" t="s">
        <v>705</v>
      </c>
      <c r="L116" s="4" t="s">
        <v>706</v>
      </c>
      <c r="M116" s="3">
        <v>55337</v>
      </c>
      <c r="N116" s="3" t="str">
        <f>"40.623915"</f>
        <v>40.623915</v>
      </c>
      <c r="O116" s="3" t="str">
        <f>"22.975573"</f>
        <v>22.975573</v>
      </c>
      <c r="P116" s="3" t="s">
        <v>23</v>
      </c>
    </row>
    <row r="117" spans="1:16">
      <c r="A117" s="3" t="s">
        <v>33</v>
      </c>
      <c r="B117" s="3" t="str">
        <f>"9190020"</f>
        <v>9190020</v>
      </c>
      <c r="C117" s="4" t="s">
        <v>175</v>
      </c>
      <c r="D117" s="3" t="s">
        <v>18</v>
      </c>
      <c r="E117" s="3" t="s">
        <v>18</v>
      </c>
      <c r="F117" s="3" t="s">
        <v>18</v>
      </c>
      <c r="G117" s="3">
        <v>17</v>
      </c>
      <c r="H117" s="3">
        <v>18</v>
      </c>
      <c r="I117" s="3" t="s">
        <v>16</v>
      </c>
      <c r="J117" s="3">
        <v>2310432386</v>
      </c>
      <c r="K117" s="4" t="s">
        <v>176</v>
      </c>
      <c r="L117" s="4" t="s">
        <v>177</v>
      </c>
      <c r="M117" s="3">
        <v>55132</v>
      </c>
      <c r="N117" s="3" t="str">
        <f>"40.576501"</f>
        <v>40.576501</v>
      </c>
      <c r="O117" s="3" t="str">
        <f>"22.962728"</f>
        <v>22.962728</v>
      </c>
      <c r="P117" s="3" t="s">
        <v>23</v>
      </c>
    </row>
    <row r="118" spans="1:16">
      <c r="A118" s="3" t="s">
        <v>33</v>
      </c>
      <c r="B118" s="3" t="str">
        <f>"9190021"</f>
        <v>9190021</v>
      </c>
      <c r="C118" s="4" t="s">
        <v>113</v>
      </c>
      <c r="D118" s="3" t="s">
        <v>18</v>
      </c>
      <c r="E118" s="3" t="s">
        <v>18</v>
      </c>
      <c r="F118" s="3" t="s">
        <v>18</v>
      </c>
      <c r="G118" s="3">
        <v>14</v>
      </c>
      <c r="H118" s="3">
        <v>14</v>
      </c>
      <c r="I118" s="3" t="s">
        <v>16</v>
      </c>
      <c r="J118" s="3">
        <v>2310432740</v>
      </c>
      <c r="K118" s="4" t="s">
        <v>114</v>
      </c>
      <c r="L118" s="4" t="s">
        <v>115</v>
      </c>
      <c r="M118" s="3">
        <v>55133</v>
      </c>
      <c r="N118" s="3" t="str">
        <f>"40.583061"</f>
        <v>40.583061</v>
      </c>
      <c r="O118" s="3" t="str">
        <f>"22.961157"</f>
        <v>22.961157</v>
      </c>
      <c r="P118" s="3" t="s">
        <v>23</v>
      </c>
    </row>
    <row r="119" spans="1:16">
      <c r="A119" s="3" t="s">
        <v>33</v>
      </c>
      <c r="B119" s="3" t="str">
        <f>"9190525"</f>
        <v>9190525</v>
      </c>
      <c r="C119" s="4" t="s">
        <v>35</v>
      </c>
      <c r="D119" s="3" t="s">
        <v>18</v>
      </c>
      <c r="E119" s="3" t="s">
        <v>18</v>
      </c>
      <c r="F119" s="3" t="s">
        <v>18</v>
      </c>
      <c r="G119" s="3">
        <v>13</v>
      </c>
      <c r="H119" s="3">
        <v>12</v>
      </c>
      <c r="I119" s="3" t="s">
        <v>16</v>
      </c>
      <c r="J119" s="3">
        <v>2310439444</v>
      </c>
      <c r="K119" s="4" t="s">
        <v>36</v>
      </c>
      <c r="L119" s="4" t="s">
        <v>37</v>
      </c>
      <c r="M119" s="3">
        <v>55135</v>
      </c>
      <c r="N119" s="3" t="str">
        <f>"40.570350"</f>
        <v>40.570350</v>
      </c>
      <c r="O119" s="3" t="str">
        <f>"22.963036"</f>
        <v>22.963036</v>
      </c>
      <c r="P119" s="3" t="s">
        <v>23</v>
      </c>
    </row>
    <row r="120" spans="1:16">
      <c r="A120" s="3" t="s">
        <v>33</v>
      </c>
      <c r="B120" s="3" t="str">
        <f>"9190550"</f>
        <v>9190550</v>
      </c>
      <c r="C120" s="4" t="s">
        <v>128</v>
      </c>
      <c r="D120" s="3" t="s">
        <v>18</v>
      </c>
      <c r="E120" s="3" t="s">
        <v>18</v>
      </c>
      <c r="F120" s="3" t="s">
        <v>18</v>
      </c>
      <c r="G120" s="3">
        <v>12</v>
      </c>
      <c r="H120" s="3">
        <v>12</v>
      </c>
      <c r="I120" s="3" t="s">
        <v>16</v>
      </c>
      <c r="J120" s="3">
        <v>2310435133</v>
      </c>
      <c r="K120" s="4" t="s">
        <v>129</v>
      </c>
      <c r="L120" s="4" t="s">
        <v>130</v>
      </c>
      <c r="M120" s="3">
        <v>55132</v>
      </c>
      <c r="N120" s="3" t="str">
        <f>"40.577467"</f>
        <v>40.577467</v>
      </c>
      <c r="O120" s="3" t="str">
        <f>"22.949788"</f>
        <v>22.949788</v>
      </c>
      <c r="P120" s="3" t="s">
        <v>23</v>
      </c>
    </row>
    <row r="121" spans="1:16">
      <c r="A121" s="3" t="s">
        <v>33</v>
      </c>
      <c r="B121" s="3" t="str">
        <f>"9190787"</f>
        <v>9190787</v>
      </c>
      <c r="C121" s="4" t="s">
        <v>141</v>
      </c>
      <c r="D121" s="3" t="s">
        <v>18</v>
      </c>
      <c r="E121" s="3" t="s">
        <v>18</v>
      </c>
      <c r="F121" s="3" t="s">
        <v>18</v>
      </c>
      <c r="G121" s="3">
        <v>16</v>
      </c>
      <c r="H121" s="3">
        <v>16</v>
      </c>
      <c r="I121" s="3" t="s">
        <v>16</v>
      </c>
      <c r="J121" s="3">
        <v>2310434345</v>
      </c>
      <c r="K121" s="4" t="s">
        <v>142</v>
      </c>
      <c r="L121" s="4" t="s">
        <v>143</v>
      </c>
      <c r="M121" s="3">
        <v>55134</v>
      </c>
      <c r="N121" s="3" t="str">
        <f>"40.585729"</f>
        <v>40.585729</v>
      </c>
      <c r="O121" s="3" t="str">
        <f>"22.965472"</f>
        <v>22.965472</v>
      </c>
      <c r="P121" s="3" t="s">
        <v>23</v>
      </c>
    </row>
    <row r="122" spans="1:16">
      <c r="A122" s="3" t="s">
        <v>33</v>
      </c>
      <c r="B122" s="3" t="str">
        <f>"9190788"</f>
        <v>9190788</v>
      </c>
      <c r="C122" s="4" t="s">
        <v>409</v>
      </c>
      <c r="D122" s="3" t="s">
        <v>18</v>
      </c>
      <c r="E122" s="3" t="s">
        <v>18</v>
      </c>
      <c r="F122" s="3" t="s">
        <v>18</v>
      </c>
      <c r="G122" s="3">
        <v>12</v>
      </c>
      <c r="H122" s="3">
        <v>14</v>
      </c>
      <c r="I122" s="3" t="s">
        <v>16</v>
      </c>
      <c r="J122" s="3">
        <v>2310433346</v>
      </c>
      <c r="K122" s="4" t="s">
        <v>410</v>
      </c>
      <c r="L122" s="4" t="s">
        <v>411</v>
      </c>
      <c r="M122" s="3">
        <v>55135</v>
      </c>
      <c r="N122" s="3" t="str">
        <f>"40.569991"</f>
        <v>40.569991</v>
      </c>
      <c r="O122" s="3" t="str">
        <f>"22.965922"</f>
        <v>22.965922</v>
      </c>
      <c r="P122" s="3" t="s">
        <v>23</v>
      </c>
    </row>
    <row r="123" spans="1:16">
      <c r="A123" s="3" t="s">
        <v>33</v>
      </c>
      <c r="B123" s="3" t="str">
        <f>"9190019"</f>
        <v>9190019</v>
      </c>
      <c r="C123" s="4" t="s">
        <v>135</v>
      </c>
      <c r="D123" s="3" t="s">
        <v>18</v>
      </c>
      <c r="E123" s="3" t="s">
        <v>18</v>
      </c>
      <c r="F123" s="3" t="s">
        <v>18</v>
      </c>
      <c r="G123" s="3">
        <v>14</v>
      </c>
      <c r="H123" s="3">
        <v>14</v>
      </c>
      <c r="I123" s="3" t="s">
        <v>16</v>
      </c>
      <c r="J123" s="3">
        <v>2310411810</v>
      </c>
      <c r="K123" s="4" t="s">
        <v>136</v>
      </c>
      <c r="L123" s="4" t="s">
        <v>137</v>
      </c>
      <c r="M123" s="3">
        <v>55131</v>
      </c>
      <c r="N123" s="3" t="str">
        <f>"40.589901"</f>
        <v>40.589901</v>
      </c>
      <c r="O123" s="3" t="str">
        <f>"22.947440"</f>
        <v>22.947440</v>
      </c>
      <c r="P123" s="3" t="s">
        <v>23</v>
      </c>
    </row>
    <row r="124" spans="1:16">
      <c r="A124" s="3" t="s">
        <v>33</v>
      </c>
      <c r="B124" s="3" t="str">
        <f>"9190848"</f>
        <v>9190848</v>
      </c>
      <c r="C124" s="4" t="s">
        <v>44</v>
      </c>
      <c r="D124" s="3" t="s">
        <v>18</v>
      </c>
      <c r="E124" s="3" t="s">
        <v>18</v>
      </c>
      <c r="F124" s="3" t="s">
        <v>18</v>
      </c>
      <c r="G124" s="3">
        <v>11</v>
      </c>
      <c r="H124" s="3">
        <v>10</v>
      </c>
      <c r="I124" s="3" t="s">
        <v>16</v>
      </c>
      <c r="J124" s="3">
        <v>2310443750</v>
      </c>
      <c r="K124" s="4" t="s">
        <v>45</v>
      </c>
      <c r="L124" s="4" t="s">
        <v>46</v>
      </c>
      <c r="M124" s="3">
        <v>55133</v>
      </c>
      <c r="N124" s="3" t="str">
        <f>"40.579932"</f>
        <v>40.579932</v>
      </c>
      <c r="O124" s="3" t="str">
        <f>"22.956542"</f>
        <v>22.956542</v>
      </c>
      <c r="P124" s="3" t="s">
        <v>23</v>
      </c>
    </row>
    <row r="125" spans="1:16">
      <c r="A125" s="3" t="s">
        <v>33</v>
      </c>
      <c r="B125" s="3" t="str">
        <f>"9190875"</f>
        <v>9190875</v>
      </c>
      <c r="C125" s="4" t="s">
        <v>100</v>
      </c>
      <c r="D125" s="3" t="s">
        <v>18</v>
      </c>
      <c r="E125" s="3" t="s">
        <v>18</v>
      </c>
      <c r="F125" s="3" t="s">
        <v>18</v>
      </c>
      <c r="G125" s="3">
        <v>11</v>
      </c>
      <c r="H125" s="3">
        <v>10</v>
      </c>
      <c r="I125" s="3" t="s">
        <v>16</v>
      </c>
      <c r="J125" s="3">
        <v>2310429840</v>
      </c>
      <c r="K125" s="4" t="s">
        <v>101</v>
      </c>
      <c r="L125" s="4" t="s">
        <v>102</v>
      </c>
      <c r="M125" s="3">
        <v>55133</v>
      </c>
      <c r="N125" s="3" t="str">
        <f>"40.588170"</f>
        <v>40.588170</v>
      </c>
      <c r="O125" s="3" t="str">
        <f>"22.959578"</f>
        <v>22.959578</v>
      </c>
      <c r="P125" s="3" t="s">
        <v>23</v>
      </c>
    </row>
    <row r="126" spans="1:16">
      <c r="A126" s="3" t="s">
        <v>33</v>
      </c>
      <c r="B126" s="3" t="str">
        <f>"9190023"</f>
        <v>9190023</v>
      </c>
      <c r="C126" s="4" t="s">
        <v>97</v>
      </c>
      <c r="D126" s="3" t="s">
        <v>18</v>
      </c>
      <c r="E126" s="3" t="s">
        <v>18</v>
      </c>
      <c r="F126" s="3" t="s">
        <v>18</v>
      </c>
      <c r="G126" s="3">
        <v>12</v>
      </c>
      <c r="H126" s="3">
        <v>12</v>
      </c>
      <c r="I126" s="3" t="s">
        <v>16</v>
      </c>
      <c r="J126" s="3">
        <v>2310411743</v>
      </c>
      <c r="K126" s="4" t="s">
        <v>98</v>
      </c>
      <c r="L126" s="4" t="s">
        <v>99</v>
      </c>
      <c r="M126" s="3">
        <v>55131</v>
      </c>
      <c r="N126" s="3" t="str">
        <f>"40.582292"</f>
        <v>40.582292</v>
      </c>
      <c r="O126" s="3" t="str">
        <f>"22.943488"</f>
        <v>22.943488</v>
      </c>
      <c r="P126" s="3" t="s">
        <v>23</v>
      </c>
    </row>
    <row r="127" spans="1:16">
      <c r="A127" s="3" t="s">
        <v>33</v>
      </c>
      <c r="B127" s="3" t="str">
        <f>"9190025"</f>
        <v>9190025</v>
      </c>
      <c r="C127" s="4" t="s">
        <v>302</v>
      </c>
      <c r="D127" s="3" t="s">
        <v>18</v>
      </c>
      <c r="E127" s="3" t="s">
        <v>18</v>
      </c>
      <c r="F127" s="3" t="s">
        <v>18</v>
      </c>
      <c r="G127" s="3">
        <v>12</v>
      </c>
      <c r="H127" s="3">
        <v>12</v>
      </c>
      <c r="I127" s="3" t="s">
        <v>16</v>
      </c>
      <c r="J127" s="3">
        <v>2310481470</v>
      </c>
      <c r="K127" s="4" t="s">
        <v>303</v>
      </c>
      <c r="L127" s="4" t="s">
        <v>304</v>
      </c>
      <c r="M127" s="3">
        <v>55132</v>
      </c>
      <c r="N127" s="3" t="str">
        <f>"40.580043"</f>
        <v>40.580043</v>
      </c>
      <c r="O127" s="3" t="str">
        <f>"22.953092"</f>
        <v>22.953092</v>
      </c>
      <c r="P127" s="3" t="s">
        <v>23</v>
      </c>
    </row>
    <row r="128" spans="1:16">
      <c r="A128" s="3" t="s">
        <v>33</v>
      </c>
      <c r="B128" s="3" t="str">
        <f>"9190026"</f>
        <v>9190026</v>
      </c>
      <c r="C128" s="4" t="s">
        <v>252</v>
      </c>
      <c r="D128" s="3" t="s">
        <v>18</v>
      </c>
      <c r="E128" s="3" t="s">
        <v>18</v>
      </c>
      <c r="F128" s="3" t="s">
        <v>18</v>
      </c>
      <c r="G128" s="3">
        <v>17</v>
      </c>
      <c r="H128" s="3">
        <v>18</v>
      </c>
      <c r="I128" s="3" t="s">
        <v>16</v>
      </c>
      <c r="J128" s="3">
        <v>2310411500</v>
      </c>
      <c r="K128" s="4" t="s">
        <v>253</v>
      </c>
      <c r="L128" s="4" t="s">
        <v>254</v>
      </c>
      <c r="M128" s="3">
        <v>55131</v>
      </c>
      <c r="N128" s="3" t="str">
        <f>"40.582952"</f>
        <v>40.582952</v>
      </c>
      <c r="O128" s="3" t="str">
        <f>"22.944421"</f>
        <v>22.944421</v>
      </c>
      <c r="P128" s="3" t="s">
        <v>23</v>
      </c>
    </row>
    <row r="129" spans="1:16">
      <c r="A129" s="3" t="s">
        <v>33</v>
      </c>
      <c r="B129" s="3" t="str">
        <f>"9190029"</f>
        <v>9190029</v>
      </c>
      <c r="C129" s="4" t="s">
        <v>440</v>
      </c>
      <c r="D129" s="3" t="s">
        <v>18</v>
      </c>
      <c r="E129" s="3" t="s">
        <v>18</v>
      </c>
      <c r="F129" s="3" t="s">
        <v>18</v>
      </c>
      <c r="G129" s="3">
        <v>12</v>
      </c>
      <c r="H129" s="3">
        <v>12</v>
      </c>
      <c r="I129" s="3" t="s">
        <v>16</v>
      </c>
      <c r="J129" s="3">
        <v>2310447722</v>
      </c>
      <c r="K129" s="4" t="s">
        <v>441</v>
      </c>
      <c r="L129" s="4" t="s">
        <v>131</v>
      </c>
      <c r="M129" s="3">
        <v>55132</v>
      </c>
      <c r="N129" s="3" t="str">
        <f>"40.577920"</f>
        <v>40.577920</v>
      </c>
      <c r="O129" s="3" t="str">
        <f>"22.950570"</f>
        <v>22.950570</v>
      </c>
      <c r="P129" s="3" t="s">
        <v>23</v>
      </c>
    </row>
    <row r="130" spans="1:16">
      <c r="A130" s="3" t="s">
        <v>33</v>
      </c>
      <c r="B130" s="3" t="str">
        <f>"9190031"</f>
        <v>9190031</v>
      </c>
      <c r="C130" s="4" t="s">
        <v>320</v>
      </c>
      <c r="D130" s="3" t="s">
        <v>18</v>
      </c>
      <c r="E130" s="3" t="s">
        <v>18</v>
      </c>
      <c r="F130" s="3" t="s">
        <v>18</v>
      </c>
      <c r="G130" s="3">
        <v>11</v>
      </c>
      <c r="H130" s="3">
        <v>12</v>
      </c>
      <c r="I130" s="3" t="s">
        <v>16</v>
      </c>
      <c r="J130" s="3">
        <v>2310444860</v>
      </c>
      <c r="K130" s="4" t="s">
        <v>321</v>
      </c>
      <c r="L130" s="4" t="s">
        <v>322</v>
      </c>
      <c r="M130" s="3">
        <v>55132</v>
      </c>
      <c r="N130" s="3" t="str">
        <f>"40.571013"</f>
        <v>40.571013</v>
      </c>
      <c r="O130" s="3" t="str">
        <f>"22.959116"</f>
        <v>22.959116</v>
      </c>
      <c r="P130" s="3" t="s">
        <v>23</v>
      </c>
    </row>
    <row r="131" spans="1:16">
      <c r="A131" s="3" t="s">
        <v>33</v>
      </c>
      <c r="B131" s="3" t="str">
        <f>"9190032"</f>
        <v>9190032</v>
      </c>
      <c r="C131" s="4" t="s">
        <v>132</v>
      </c>
      <c r="D131" s="3" t="s">
        <v>18</v>
      </c>
      <c r="E131" s="3" t="s">
        <v>18</v>
      </c>
      <c r="F131" s="3" t="s">
        <v>18</v>
      </c>
      <c r="G131" s="3">
        <v>12</v>
      </c>
      <c r="H131" s="3">
        <v>12</v>
      </c>
      <c r="I131" s="3" t="s">
        <v>16</v>
      </c>
      <c r="J131" s="3">
        <v>2310433980</v>
      </c>
      <c r="K131" s="4" t="s">
        <v>133</v>
      </c>
      <c r="L131" s="4" t="s">
        <v>134</v>
      </c>
      <c r="M131" s="3">
        <v>55134</v>
      </c>
      <c r="N131" s="3" t="str">
        <f>"40.582815"</f>
        <v>40.582815</v>
      </c>
      <c r="O131" s="3" t="str">
        <f>"22.966716"</f>
        <v>22.966716</v>
      </c>
      <c r="P131" s="3" t="s">
        <v>23</v>
      </c>
    </row>
    <row r="132" spans="1:16">
      <c r="A132" s="3" t="s">
        <v>33</v>
      </c>
      <c r="B132" s="3" t="str">
        <f>"9190033"</f>
        <v>9190033</v>
      </c>
      <c r="C132" s="4" t="s">
        <v>166</v>
      </c>
      <c r="D132" s="3" t="s">
        <v>18</v>
      </c>
      <c r="E132" s="3" t="s">
        <v>18</v>
      </c>
      <c r="F132" s="3" t="s">
        <v>18</v>
      </c>
      <c r="G132" s="3">
        <v>7</v>
      </c>
      <c r="H132" s="3">
        <v>6</v>
      </c>
      <c r="I132" s="3" t="s">
        <v>16</v>
      </c>
      <c r="J132" s="3">
        <v>2310472236</v>
      </c>
      <c r="K132" s="4" t="s">
        <v>167</v>
      </c>
      <c r="L132" s="4" t="s">
        <v>168</v>
      </c>
      <c r="M132" s="3">
        <v>55134</v>
      </c>
      <c r="N132" s="3" t="str">
        <f>"40.569969"</f>
        <v>40.569969</v>
      </c>
      <c r="O132" s="3" t="str">
        <f>"22.970951"</f>
        <v>22.970951</v>
      </c>
      <c r="P132" s="3" t="s">
        <v>23</v>
      </c>
    </row>
    <row r="133" spans="1:16">
      <c r="A133" s="3" t="s">
        <v>33</v>
      </c>
      <c r="B133" s="3" t="str">
        <f>"9190034"</f>
        <v>9190034</v>
      </c>
      <c r="C133" s="4" t="s">
        <v>331</v>
      </c>
      <c r="D133" s="3" t="s">
        <v>18</v>
      </c>
      <c r="E133" s="3" t="s">
        <v>18</v>
      </c>
      <c r="F133" s="3" t="s">
        <v>18</v>
      </c>
      <c r="G133" s="3">
        <v>6</v>
      </c>
      <c r="H133" s="3">
        <v>6</v>
      </c>
      <c r="I133" s="3" t="s">
        <v>16</v>
      </c>
      <c r="J133" s="3">
        <v>2310472730</v>
      </c>
      <c r="K133" s="4" t="s">
        <v>332</v>
      </c>
      <c r="L133" s="4" t="s">
        <v>333</v>
      </c>
      <c r="M133" s="3">
        <v>55134</v>
      </c>
      <c r="N133" s="3" t="str">
        <f>"40.571424"</f>
        <v>40.571424</v>
      </c>
      <c r="O133" s="3" t="str">
        <f>"22.974288"</f>
        <v>22.974288</v>
      </c>
      <c r="P133" s="3" t="s">
        <v>23</v>
      </c>
    </row>
    <row r="134" spans="1:16">
      <c r="A134" s="5" t="s">
        <v>33</v>
      </c>
      <c r="B134" s="5" t="str">
        <f>"9521480"</f>
        <v>9521480</v>
      </c>
      <c r="C134" s="6" t="s">
        <v>936</v>
      </c>
      <c r="D134" s="5" t="s">
        <v>18</v>
      </c>
      <c r="E134" s="5" t="s">
        <v>18</v>
      </c>
      <c r="F134" s="5" t="s">
        <v>18</v>
      </c>
      <c r="G134" s="5">
        <v>1</v>
      </c>
      <c r="H134" s="5">
        <v>6</v>
      </c>
      <c r="I134" s="5" t="s">
        <v>16</v>
      </c>
      <c r="J134" s="6" t="s">
        <v>56</v>
      </c>
      <c r="K134" s="6" t="s">
        <v>56</v>
      </c>
      <c r="L134" s="6" t="s">
        <v>937</v>
      </c>
      <c r="M134" s="6" t="s">
        <v>56</v>
      </c>
      <c r="N134" s="6" t="s">
        <v>56</v>
      </c>
      <c r="O134" s="6" t="s">
        <v>56</v>
      </c>
      <c r="P134" s="5" t="s">
        <v>24</v>
      </c>
    </row>
    <row r="135" spans="1:16">
      <c r="A135" s="3" t="s">
        <v>33</v>
      </c>
      <c r="B135" s="3" t="str">
        <f>"9190368"</f>
        <v>9190368</v>
      </c>
      <c r="C135" s="4" t="s">
        <v>557</v>
      </c>
      <c r="D135" s="3" t="s">
        <v>31</v>
      </c>
      <c r="E135" s="3" t="s">
        <v>32</v>
      </c>
      <c r="F135" s="3" t="s">
        <v>32</v>
      </c>
      <c r="G135" s="3">
        <v>15</v>
      </c>
      <c r="H135" s="3">
        <v>18</v>
      </c>
      <c r="I135" s="3" t="s">
        <v>16</v>
      </c>
      <c r="J135" s="3">
        <v>2310341168</v>
      </c>
      <c r="K135" s="4" t="s">
        <v>558</v>
      </c>
      <c r="L135" s="4" t="s">
        <v>559</v>
      </c>
      <c r="M135" s="3">
        <v>55236</v>
      </c>
      <c r="N135" s="3" t="str">
        <f>"40.586881"</f>
        <v>40.586881</v>
      </c>
      <c r="O135" s="3" t="str">
        <f>"23.038425"</f>
        <v>23.038425</v>
      </c>
      <c r="P135" s="3" t="s">
        <v>23</v>
      </c>
    </row>
    <row r="136" spans="1:16">
      <c r="A136" s="3" t="s">
        <v>33</v>
      </c>
      <c r="B136" s="3" t="str">
        <f>"9190950"</f>
        <v>9190950</v>
      </c>
      <c r="C136" s="4" t="s">
        <v>311</v>
      </c>
      <c r="D136" s="3" t="s">
        <v>31</v>
      </c>
      <c r="E136" s="3" t="s">
        <v>32</v>
      </c>
      <c r="F136" s="3" t="s">
        <v>32</v>
      </c>
      <c r="G136" s="3">
        <v>15</v>
      </c>
      <c r="H136" s="3">
        <v>18</v>
      </c>
      <c r="I136" s="3" t="s">
        <v>16</v>
      </c>
      <c r="J136" s="3">
        <v>2310346740</v>
      </c>
      <c r="K136" s="4" t="s">
        <v>312</v>
      </c>
      <c r="L136" s="4" t="s">
        <v>313</v>
      </c>
      <c r="M136" s="3">
        <v>55236</v>
      </c>
      <c r="N136" s="3" t="str">
        <f>"40.581693"</f>
        <v>40.581693</v>
      </c>
      <c r="O136" s="3" t="str">
        <f>"23.016296"</f>
        <v>23.016296</v>
      </c>
      <c r="P136" s="3" t="s">
        <v>23</v>
      </c>
    </row>
    <row r="137" spans="1:16">
      <c r="A137" s="5" t="s">
        <v>33</v>
      </c>
      <c r="B137" s="5" t="str">
        <f>"9521016"</f>
        <v>9521016</v>
      </c>
      <c r="C137" s="6" t="s">
        <v>34</v>
      </c>
      <c r="D137" s="5" t="s">
        <v>31</v>
      </c>
      <c r="E137" s="5" t="s">
        <v>32</v>
      </c>
      <c r="F137" s="5" t="s">
        <v>32</v>
      </c>
      <c r="G137" s="5">
        <v>6</v>
      </c>
      <c r="H137" s="5">
        <v>12</v>
      </c>
      <c r="I137" s="5" t="s">
        <v>16</v>
      </c>
      <c r="J137" s="6" t="s">
        <v>56</v>
      </c>
      <c r="K137" s="6" t="s">
        <v>56</v>
      </c>
      <c r="L137" s="6" t="s">
        <v>937</v>
      </c>
      <c r="M137" s="6" t="s">
        <v>56</v>
      </c>
      <c r="N137" s="6" t="s">
        <v>56</v>
      </c>
      <c r="O137" s="6" t="s">
        <v>56</v>
      </c>
      <c r="P137" s="5" t="s">
        <v>24</v>
      </c>
    </row>
    <row r="138" spans="1:16">
      <c r="A138" s="3" t="s">
        <v>33</v>
      </c>
      <c r="B138" s="3" t="str">
        <f>"9521172"</f>
        <v>9521172</v>
      </c>
      <c r="C138" s="4" t="s">
        <v>861</v>
      </c>
      <c r="D138" s="3" t="s">
        <v>31</v>
      </c>
      <c r="E138" s="3" t="s">
        <v>32</v>
      </c>
      <c r="F138" s="3" t="s">
        <v>32</v>
      </c>
      <c r="G138" s="3">
        <v>4</v>
      </c>
      <c r="H138" s="3">
        <v>6</v>
      </c>
      <c r="I138" s="3" t="s">
        <v>16</v>
      </c>
      <c r="J138" s="3">
        <v>2310332930</v>
      </c>
      <c r="K138" s="4" t="s">
        <v>862</v>
      </c>
      <c r="L138" s="4" t="s">
        <v>566</v>
      </c>
      <c r="M138" s="3">
        <v>55236</v>
      </c>
      <c r="N138" s="3" t="str">
        <f>"40.597971"</f>
        <v>40.597971</v>
      </c>
      <c r="O138" s="3" t="str">
        <f>"23.047951"</f>
        <v>23.047951</v>
      </c>
      <c r="P138" s="3" t="s">
        <v>23</v>
      </c>
    </row>
    <row r="139" spans="1:16">
      <c r="A139" s="3" t="s">
        <v>33</v>
      </c>
      <c r="B139" s="3" t="str">
        <f>"9190877"</f>
        <v>9190877</v>
      </c>
      <c r="C139" s="4" t="s">
        <v>398</v>
      </c>
      <c r="D139" s="3" t="s">
        <v>31</v>
      </c>
      <c r="E139" s="3" t="s">
        <v>74</v>
      </c>
      <c r="F139" s="3" t="s">
        <v>74</v>
      </c>
      <c r="G139" s="3">
        <v>8</v>
      </c>
      <c r="H139" s="3">
        <v>6</v>
      </c>
      <c r="I139" s="3" t="s">
        <v>16</v>
      </c>
      <c r="J139" s="3">
        <v>2310426805</v>
      </c>
      <c r="K139" s="4" t="s">
        <v>399</v>
      </c>
      <c r="L139" s="4" t="s">
        <v>77</v>
      </c>
      <c r="M139" s="3">
        <v>55535</v>
      </c>
      <c r="N139" s="3" t="str">
        <f>"40.593708"</f>
        <v>40.593708</v>
      </c>
      <c r="O139" s="3" t="str">
        <f>"22.984405"</f>
        <v>22.984405</v>
      </c>
      <c r="P139" s="3" t="s">
        <v>23</v>
      </c>
    </row>
    <row r="140" spans="1:16">
      <c r="A140" s="3" t="s">
        <v>33</v>
      </c>
      <c r="B140" s="3" t="str">
        <f>"9190059"</f>
        <v>9190059</v>
      </c>
      <c r="C140" s="4" t="s">
        <v>75</v>
      </c>
      <c r="D140" s="3" t="s">
        <v>31</v>
      </c>
      <c r="E140" s="3" t="s">
        <v>74</v>
      </c>
      <c r="F140" s="3" t="s">
        <v>74</v>
      </c>
      <c r="G140" s="3">
        <v>17</v>
      </c>
      <c r="H140" s="3">
        <v>18</v>
      </c>
      <c r="I140" s="3" t="s">
        <v>16</v>
      </c>
      <c r="J140" s="3">
        <v>2310300714</v>
      </c>
      <c r="K140" s="4" t="s">
        <v>76</v>
      </c>
      <c r="L140" s="4" t="s">
        <v>77</v>
      </c>
      <c r="M140" s="3">
        <v>55535</v>
      </c>
      <c r="N140" s="3" t="str">
        <f>"40.593839"</f>
        <v>40.593839</v>
      </c>
      <c r="O140" s="3" t="str">
        <f>"22.984448"</f>
        <v>22.984448</v>
      </c>
      <c r="P140" s="3" t="s">
        <v>23</v>
      </c>
    </row>
    <row r="141" spans="1:16">
      <c r="A141" s="3" t="s">
        <v>33</v>
      </c>
      <c r="B141" s="3" t="str">
        <f>"9190058"</f>
        <v>9190058</v>
      </c>
      <c r="C141" s="4" t="s">
        <v>463</v>
      </c>
      <c r="D141" s="3" t="s">
        <v>31</v>
      </c>
      <c r="E141" s="3" t="s">
        <v>74</v>
      </c>
      <c r="F141" s="3" t="s">
        <v>74</v>
      </c>
      <c r="G141" s="3">
        <v>14</v>
      </c>
      <c r="H141" s="3">
        <v>14</v>
      </c>
      <c r="I141" s="3" t="s">
        <v>16</v>
      </c>
      <c r="J141" s="3">
        <v>2310301714</v>
      </c>
      <c r="K141" s="4" t="s">
        <v>464</v>
      </c>
      <c r="L141" s="4" t="s">
        <v>465</v>
      </c>
      <c r="M141" s="3">
        <v>55535</v>
      </c>
      <c r="N141" s="3" t="str">
        <f>"40.597202"</f>
        <v>40.597202</v>
      </c>
      <c r="O141" s="3" t="str">
        <f>"22.981727"</f>
        <v>22.981727</v>
      </c>
      <c r="P141" s="3" t="s">
        <v>23</v>
      </c>
    </row>
    <row r="142" spans="1:16">
      <c r="A142" s="3" t="s">
        <v>33</v>
      </c>
      <c r="B142" s="3" t="str">
        <f>"9190505"</f>
        <v>9190505</v>
      </c>
      <c r="C142" s="4" t="s">
        <v>656</v>
      </c>
      <c r="D142" s="3" t="s">
        <v>31</v>
      </c>
      <c r="E142" s="3" t="s">
        <v>74</v>
      </c>
      <c r="F142" s="3" t="s">
        <v>74</v>
      </c>
      <c r="G142" s="3">
        <v>10</v>
      </c>
      <c r="H142" s="3">
        <v>10</v>
      </c>
      <c r="I142" s="3" t="s">
        <v>16</v>
      </c>
      <c r="J142" s="3">
        <v>2310318455</v>
      </c>
      <c r="K142" s="4" t="s">
        <v>657</v>
      </c>
      <c r="L142" s="4" t="s">
        <v>658</v>
      </c>
      <c r="M142" s="3">
        <v>55535</v>
      </c>
      <c r="N142" s="3" t="str">
        <f>"40.600890"</f>
        <v>40.600890</v>
      </c>
      <c r="O142" s="3" t="str">
        <f>"23.005659"</f>
        <v>23.005659</v>
      </c>
      <c r="P142" s="3" t="s">
        <v>23</v>
      </c>
    </row>
    <row r="143" spans="1:16">
      <c r="A143" s="3" t="s">
        <v>33</v>
      </c>
      <c r="B143" s="3" t="str">
        <f>"9521095"</f>
        <v>9521095</v>
      </c>
      <c r="C143" s="4" t="s">
        <v>869</v>
      </c>
      <c r="D143" s="3" t="s">
        <v>31</v>
      </c>
      <c r="E143" s="3" t="s">
        <v>74</v>
      </c>
      <c r="F143" s="3" t="s">
        <v>74</v>
      </c>
      <c r="G143" s="3">
        <v>12</v>
      </c>
      <c r="H143" s="3">
        <v>12</v>
      </c>
      <c r="I143" s="3" t="s">
        <v>16</v>
      </c>
      <c r="J143" s="3">
        <v>2310906096</v>
      </c>
      <c r="K143" s="4" t="s">
        <v>870</v>
      </c>
      <c r="L143" s="4" t="s">
        <v>871</v>
      </c>
      <c r="M143" s="3">
        <v>55534</v>
      </c>
      <c r="N143" s="3" t="str">
        <f>"40.612302"</f>
        <v>40.612302</v>
      </c>
      <c r="O143" s="3" t="str">
        <f>"22.994278"</f>
        <v>22.994278</v>
      </c>
      <c r="P143" s="3" t="s">
        <v>23</v>
      </c>
    </row>
    <row r="144" spans="1:16">
      <c r="A144" s="3" t="s">
        <v>33</v>
      </c>
      <c r="B144" s="3" t="str">
        <f>"9521414"</f>
        <v>9521414</v>
      </c>
      <c r="C144" s="4" t="s">
        <v>907</v>
      </c>
      <c r="D144" s="3" t="s">
        <v>31</v>
      </c>
      <c r="E144" s="3" t="s">
        <v>74</v>
      </c>
      <c r="F144" s="3" t="s">
        <v>74</v>
      </c>
      <c r="G144" s="3">
        <v>13</v>
      </c>
      <c r="H144" s="3">
        <v>12</v>
      </c>
      <c r="I144" s="3" t="s">
        <v>16</v>
      </c>
      <c r="J144" s="3">
        <v>2310322277</v>
      </c>
      <c r="K144" s="4" t="s">
        <v>908</v>
      </c>
      <c r="L144" s="4" t="s">
        <v>909</v>
      </c>
      <c r="M144" s="3">
        <v>54250</v>
      </c>
      <c r="N144" s="3" t="str">
        <f>"40.596872"</f>
        <v>40.596872</v>
      </c>
      <c r="O144" s="3" t="str">
        <f>"22.976369"</f>
        <v>22.976369</v>
      </c>
      <c r="P144" s="3" t="s">
        <v>23</v>
      </c>
    </row>
    <row r="145" spans="1:16">
      <c r="A145" s="3" t="s">
        <v>33</v>
      </c>
      <c r="B145" s="3" t="str">
        <f>"9190900"</f>
        <v>9190900</v>
      </c>
      <c r="C145" s="4" t="s">
        <v>664</v>
      </c>
      <c r="D145" s="3" t="s">
        <v>31</v>
      </c>
      <c r="E145" s="3" t="s">
        <v>74</v>
      </c>
      <c r="F145" s="3" t="s">
        <v>74</v>
      </c>
      <c r="G145" s="3">
        <v>19</v>
      </c>
      <c r="H145" s="3">
        <v>18</v>
      </c>
      <c r="I145" s="3" t="s">
        <v>16</v>
      </c>
      <c r="J145" s="3">
        <v>2311232529</v>
      </c>
      <c r="K145" s="4" t="s">
        <v>665</v>
      </c>
      <c r="L145" s="4" t="s">
        <v>666</v>
      </c>
      <c r="M145" s="3">
        <v>57001</v>
      </c>
      <c r="N145" s="3" t="str">
        <f>"40.540763"</f>
        <v>40.540763</v>
      </c>
      <c r="O145" s="3" t="str">
        <f>"22.990582"</f>
        <v>22.990582</v>
      </c>
      <c r="P145" s="3" t="s">
        <v>23</v>
      </c>
    </row>
    <row r="146" spans="1:16">
      <c r="A146" s="3" t="s">
        <v>33</v>
      </c>
      <c r="B146" s="3" t="str">
        <f>"9190821"</f>
        <v>9190821</v>
      </c>
      <c r="C146" s="4" t="s">
        <v>534</v>
      </c>
      <c r="D146" s="3" t="s">
        <v>31</v>
      </c>
      <c r="E146" s="3" t="s">
        <v>74</v>
      </c>
      <c r="F146" s="3" t="s">
        <v>74</v>
      </c>
      <c r="G146" s="3">
        <v>5</v>
      </c>
      <c r="H146" s="3">
        <v>4</v>
      </c>
      <c r="I146" s="3" t="s">
        <v>16</v>
      </c>
      <c r="J146" s="3">
        <v>2310318644</v>
      </c>
      <c r="K146" s="4" t="s">
        <v>535</v>
      </c>
      <c r="L146" s="4" t="s">
        <v>499</v>
      </c>
      <c r="M146" s="3">
        <v>55535</v>
      </c>
      <c r="N146" s="3" t="str">
        <f>"40.594446"</f>
        <v>40.594446</v>
      </c>
      <c r="O146" s="3" t="str">
        <f>"23.005303"</f>
        <v>23.005303</v>
      </c>
      <c r="P146" s="3" t="s">
        <v>23</v>
      </c>
    </row>
    <row r="147" spans="1:16">
      <c r="A147" s="3" t="s">
        <v>33</v>
      </c>
      <c r="B147" s="3" t="str">
        <f>"9520882"</f>
        <v>9520882</v>
      </c>
      <c r="C147" s="4" t="s">
        <v>452</v>
      </c>
      <c r="D147" s="3" t="s">
        <v>31</v>
      </c>
      <c r="E147" s="3" t="s">
        <v>74</v>
      </c>
      <c r="F147" s="3" t="s">
        <v>74</v>
      </c>
      <c r="G147" s="3">
        <v>6</v>
      </c>
      <c r="H147" s="3">
        <v>6</v>
      </c>
      <c r="I147" s="3" t="s">
        <v>16</v>
      </c>
      <c r="J147" s="3">
        <v>2310968193</v>
      </c>
      <c r="K147" s="4" t="s">
        <v>453</v>
      </c>
      <c r="L147" s="4" t="s">
        <v>454</v>
      </c>
      <c r="M147" s="3">
        <v>54352</v>
      </c>
      <c r="N147" s="3" t="str">
        <f>"40.606867"</f>
        <v>40.606867</v>
      </c>
      <c r="O147" s="3" t="str">
        <f>"22.997932"</f>
        <v>22.997932</v>
      </c>
      <c r="P147" s="3" t="s">
        <v>23</v>
      </c>
    </row>
    <row r="148" spans="1:16">
      <c r="A148" s="3" t="s">
        <v>33</v>
      </c>
      <c r="B148" s="3" t="str">
        <f>"9190195"</f>
        <v>9190195</v>
      </c>
      <c r="C148" s="4" t="s">
        <v>62</v>
      </c>
      <c r="D148" s="3" t="s">
        <v>31</v>
      </c>
      <c r="E148" s="3" t="s">
        <v>60</v>
      </c>
      <c r="F148" s="3" t="s">
        <v>61</v>
      </c>
      <c r="G148" s="3">
        <v>9</v>
      </c>
      <c r="H148" s="3">
        <v>12</v>
      </c>
      <c r="I148" s="3" t="s">
        <v>38</v>
      </c>
      <c r="J148" s="3">
        <v>2310358672</v>
      </c>
      <c r="K148" s="4" t="s">
        <v>63</v>
      </c>
      <c r="L148" s="4" t="s">
        <v>65</v>
      </c>
      <c r="M148" s="3">
        <v>57010</v>
      </c>
      <c r="N148" s="3" t="str">
        <f>"40.641488"</f>
        <v>40.641488</v>
      </c>
      <c r="O148" s="3" t="str">
        <f>"23.021383"</f>
        <v>23.021383</v>
      </c>
      <c r="P148" s="3" t="s">
        <v>23</v>
      </c>
    </row>
    <row r="149" spans="1:16">
      <c r="A149" s="3" t="s">
        <v>33</v>
      </c>
      <c r="B149" s="3" t="str">
        <f>"9521341"</f>
        <v>9521341</v>
      </c>
      <c r="C149" s="4" t="s">
        <v>886</v>
      </c>
      <c r="D149" s="3" t="s">
        <v>31</v>
      </c>
      <c r="E149" s="3" t="s">
        <v>60</v>
      </c>
      <c r="F149" s="3" t="s">
        <v>61</v>
      </c>
      <c r="G149" s="3">
        <v>6</v>
      </c>
      <c r="H149" s="3">
        <v>6</v>
      </c>
      <c r="I149" s="3" t="s">
        <v>38</v>
      </c>
      <c r="J149" s="3">
        <v>2310359747</v>
      </c>
      <c r="K149" s="4" t="s">
        <v>887</v>
      </c>
      <c r="L149" s="4" t="s">
        <v>64</v>
      </c>
      <c r="M149" s="3">
        <v>57010</v>
      </c>
      <c r="N149" s="3" t="str">
        <f>"40.641264"</f>
        <v>40.641264</v>
      </c>
      <c r="O149" s="3" t="str">
        <f>"23.020803"</f>
        <v>23.020803</v>
      </c>
      <c r="P149" s="3" t="s">
        <v>23</v>
      </c>
    </row>
    <row r="150" spans="1:16">
      <c r="A150" s="3" t="s">
        <v>33</v>
      </c>
      <c r="B150" s="3" t="str">
        <f>"9190346"</f>
        <v>9190346</v>
      </c>
      <c r="C150" s="4" t="s">
        <v>395</v>
      </c>
      <c r="D150" s="3" t="s">
        <v>31</v>
      </c>
      <c r="E150" s="3" t="s">
        <v>60</v>
      </c>
      <c r="F150" s="3" t="s">
        <v>381</v>
      </c>
      <c r="G150" s="3">
        <v>6</v>
      </c>
      <c r="H150" s="3">
        <v>12</v>
      </c>
      <c r="I150" s="3" t="s">
        <v>38</v>
      </c>
      <c r="J150" s="3">
        <v>2310357386</v>
      </c>
      <c r="K150" s="4" t="s">
        <v>396</v>
      </c>
      <c r="L150" s="4" t="s">
        <v>397</v>
      </c>
      <c r="M150" s="3">
        <v>57010</v>
      </c>
      <c r="N150" s="3" t="str">
        <f>"40.630258"</f>
        <v>40.630258</v>
      </c>
      <c r="O150" s="3" t="str">
        <f>"23.040662"</f>
        <v>23.040662</v>
      </c>
      <c r="P150" s="3" t="s">
        <v>23</v>
      </c>
    </row>
    <row r="151" spans="1:16">
      <c r="A151" s="3" t="s">
        <v>33</v>
      </c>
      <c r="B151" s="3" t="str">
        <f>"9520724"</f>
        <v>9520724</v>
      </c>
      <c r="C151" s="4" t="s">
        <v>833</v>
      </c>
      <c r="D151" s="3" t="s">
        <v>31</v>
      </c>
      <c r="E151" s="3" t="s">
        <v>60</v>
      </c>
      <c r="F151" s="3" t="s">
        <v>381</v>
      </c>
      <c r="G151" s="3">
        <v>1</v>
      </c>
      <c r="H151" s="3">
        <v>2</v>
      </c>
      <c r="I151" s="3" t="s">
        <v>38</v>
      </c>
      <c r="J151" s="3">
        <v>2313307576</v>
      </c>
      <c r="K151" s="4" t="s">
        <v>834</v>
      </c>
      <c r="L151" s="4" t="s">
        <v>835</v>
      </c>
      <c r="M151" s="3">
        <v>57010</v>
      </c>
      <c r="N151" s="3" t="str">
        <f>"40.631054"</f>
        <v>40.631054</v>
      </c>
      <c r="O151" s="3" t="str">
        <f>"23.045131"</f>
        <v>23.045131</v>
      </c>
      <c r="P151" s="3" t="s">
        <v>23</v>
      </c>
    </row>
    <row r="152" spans="1:16">
      <c r="A152" s="3" t="s">
        <v>33</v>
      </c>
      <c r="B152" s="3" t="str">
        <f>"9190376"</f>
        <v>9190376</v>
      </c>
      <c r="C152" s="4" t="s">
        <v>659</v>
      </c>
      <c r="D152" s="3" t="s">
        <v>31</v>
      </c>
      <c r="E152" s="3" t="s">
        <v>60</v>
      </c>
      <c r="F152" s="3" t="s">
        <v>415</v>
      </c>
      <c r="G152" s="3">
        <v>12</v>
      </c>
      <c r="H152" s="3">
        <v>12</v>
      </c>
      <c r="I152" s="3" t="s">
        <v>38</v>
      </c>
      <c r="J152" s="3">
        <v>2310677128</v>
      </c>
      <c r="K152" s="4" t="s">
        <v>660</v>
      </c>
      <c r="L152" s="4" t="s">
        <v>661</v>
      </c>
      <c r="M152" s="3">
        <v>57010</v>
      </c>
      <c r="N152" s="3" t="str">
        <f>"40.694349"</f>
        <v>40.694349</v>
      </c>
      <c r="O152" s="3" t="str">
        <f>"22.999601"</f>
        <v>22.999601</v>
      </c>
      <c r="P152" s="3" t="s">
        <v>23</v>
      </c>
    </row>
    <row r="153" spans="1:16">
      <c r="A153" s="3" t="s">
        <v>33</v>
      </c>
      <c r="B153" s="3" t="str">
        <f>"9521342"</f>
        <v>9521342</v>
      </c>
      <c r="C153" s="4" t="s">
        <v>888</v>
      </c>
      <c r="D153" s="3" t="s">
        <v>31</v>
      </c>
      <c r="E153" s="3" t="s">
        <v>60</v>
      </c>
      <c r="F153" s="3" t="s">
        <v>415</v>
      </c>
      <c r="G153" s="3">
        <v>6</v>
      </c>
      <c r="H153" s="3">
        <v>6</v>
      </c>
      <c r="I153" s="3" t="s">
        <v>38</v>
      </c>
      <c r="J153" s="3">
        <v>2310677128</v>
      </c>
      <c r="K153" s="4" t="s">
        <v>889</v>
      </c>
      <c r="L153" s="4" t="s">
        <v>661</v>
      </c>
      <c r="M153" s="3">
        <v>57010</v>
      </c>
      <c r="N153" s="3" t="str">
        <f>"40.692049"</f>
        <v>40.692049</v>
      </c>
      <c r="O153" s="3" t="str">
        <f>"23.000305"</f>
        <v>23.000305</v>
      </c>
      <c r="P153" s="3" t="s">
        <v>23</v>
      </c>
    </row>
    <row r="154" spans="1:16">
      <c r="A154" s="3" t="s">
        <v>33</v>
      </c>
      <c r="B154" s="3" t="str">
        <f>"9190377"</f>
        <v>9190377</v>
      </c>
      <c r="C154" s="4" t="s">
        <v>412</v>
      </c>
      <c r="D154" s="3" t="s">
        <v>31</v>
      </c>
      <c r="E154" s="3" t="s">
        <v>60</v>
      </c>
      <c r="F154" s="3" t="s">
        <v>60</v>
      </c>
      <c r="G154" s="3">
        <v>12</v>
      </c>
      <c r="H154" s="3">
        <v>18</v>
      </c>
      <c r="I154" s="3" t="s">
        <v>38</v>
      </c>
      <c r="J154" s="3">
        <v>2310349252</v>
      </c>
      <c r="K154" s="4" t="s">
        <v>413</v>
      </c>
      <c r="L154" s="4" t="s">
        <v>414</v>
      </c>
      <c r="M154" s="3">
        <v>57010</v>
      </c>
      <c r="N154" s="3" t="str">
        <f>"40.619772"</f>
        <v>40.619772</v>
      </c>
      <c r="O154" s="3" t="str">
        <f>"23.097886"</f>
        <v>23.097886</v>
      </c>
      <c r="P154" s="3" t="s">
        <v>23</v>
      </c>
    </row>
    <row r="155" spans="1:16">
      <c r="A155" s="3" t="s">
        <v>19</v>
      </c>
      <c r="B155" s="3" t="str">
        <f>"9190347"</f>
        <v>9190347</v>
      </c>
      <c r="C155" s="4" t="s">
        <v>811</v>
      </c>
      <c r="D155" s="3" t="s">
        <v>144</v>
      </c>
      <c r="E155" s="3" t="s">
        <v>225</v>
      </c>
      <c r="F155" s="3" t="s">
        <v>225</v>
      </c>
      <c r="G155" s="3">
        <v>2</v>
      </c>
      <c r="H155" s="3">
        <v>2</v>
      </c>
      <c r="I155" s="3" t="s">
        <v>38</v>
      </c>
      <c r="J155" s="3">
        <v>2392044474</v>
      </c>
      <c r="K155" s="4" t="s">
        <v>812</v>
      </c>
      <c r="L155" s="4" t="s">
        <v>770</v>
      </c>
      <c r="M155" s="3">
        <v>57500</v>
      </c>
      <c r="N155" s="3" t="str">
        <f>"40.424468"</f>
        <v>40.424468</v>
      </c>
      <c r="O155" s="3" t="str">
        <f>"22.930485"</f>
        <v>22.930485</v>
      </c>
      <c r="P155" s="3" t="s">
        <v>23</v>
      </c>
    </row>
    <row r="156" spans="1:16">
      <c r="A156" s="3" t="s">
        <v>19</v>
      </c>
      <c r="B156" s="3" t="str">
        <f>"9190349"</f>
        <v>9190349</v>
      </c>
      <c r="C156" s="4" t="s">
        <v>818</v>
      </c>
      <c r="D156" s="3" t="s">
        <v>144</v>
      </c>
      <c r="E156" s="3" t="s">
        <v>225</v>
      </c>
      <c r="F156" s="3" t="s">
        <v>225</v>
      </c>
      <c r="G156" s="3">
        <v>2</v>
      </c>
      <c r="H156" s="3">
        <v>2</v>
      </c>
      <c r="I156" s="3" t="s">
        <v>38</v>
      </c>
      <c r="J156" s="3">
        <v>2392041315</v>
      </c>
      <c r="K156" s="4" t="s">
        <v>819</v>
      </c>
      <c r="L156" s="4" t="s">
        <v>774</v>
      </c>
      <c r="M156" s="3">
        <v>57500</v>
      </c>
      <c r="N156" s="3" t="str">
        <f>"40.429177"</f>
        <v>40.429177</v>
      </c>
      <c r="O156" s="3" t="str">
        <f>"22.928847"</f>
        <v>22.928847</v>
      </c>
      <c r="P156" s="3" t="s">
        <v>23</v>
      </c>
    </row>
    <row r="157" spans="1:16">
      <c r="A157" s="3" t="s">
        <v>19</v>
      </c>
      <c r="B157" s="3" t="str">
        <f>"9520587"</f>
        <v>9520587</v>
      </c>
      <c r="C157" s="4" t="s">
        <v>226</v>
      </c>
      <c r="D157" s="3" t="s">
        <v>144</v>
      </c>
      <c r="E157" s="3" t="s">
        <v>225</v>
      </c>
      <c r="F157" s="3" t="s">
        <v>225</v>
      </c>
      <c r="G157" s="3">
        <v>3</v>
      </c>
      <c r="H157" s="3">
        <v>3</v>
      </c>
      <c r="I157" s="3" t="s">
        <v>38</v>
      </c>
      <c r="J157" s="3">
        <v>2392043085</v>
      </c>
      <c r="K157" s="4" t="s">
        <v>227</v>
      </c>
      <c r="L157" s="4" t="s">
        <v>228</v>
      </c>
      <c r="M157" s="3">
        <v>57500</v>
      </c>
      <c r="N157" s="3" t="str">
        <f>"40.424914"</f>
        <v>40.424914</v>
      </c>
      <c r="O157" s="3" t="str">
        <f>"22.921414"</f>
        <v>22.921414</v>
      </c>
      <c r="P157" s="3" t="s">
        <v>23</v>
      </c>
    </row>
    <row r="158" spans="1:16">
      <c r="A158" s="3" t="s">
        <v>19</v>
      </c>
      <c r="B158" s="3" t="str">
        <f>"9190691"</f>
        <v>9190691</v>
      </c>
      <c r="C158" s="4" t="s">
        <v>507</v>
      </c>
      <c r="D158" s="3" t="s">
        <v>144</v>
      </c>
      <c r="E158" s="3" t="s">
        <v>225</v>
      </c>
      <c r="F158" s="3" t="s">
        <v>506</v>
      </c>
      <c r="G158" s="3">
        <v>1</v>
      </c>
      <c r="H158" s="3">
        <v>2</v>
      </c>
      <c r="I158" s="3" t="s">
        <v>38</v>
      </c>
      <c r="J158" s="3">
        <v>2392091115</v>
      </c>
      <c r="K158" s="4" t="s">
        <v>508</v>
      </c>
      <c r="L158" s="4" t="s">
        <v>509</v>
      </c>
      <c r="M158" s="3">
        <v>57500</v>
      </c>
      <c r="N158" s="3" t="str">
        <f>"40.413432"</f>
        <v>40.413432</v>
      </c>
      <c r="O158" s="3" t="str">
        <f>"23.007835"</f>
        <v>23.007835</v>
      </c>
      <c r="P158" s="3" t="s">
        <v>23</v>
      </c>
    </row>
    <row r="159" spans="1:16">
      <c r="A159" s="3" t="s">
        <v>19</v>
      </c>
      <c r="B159" s="3" t="str">
        <f>"9190694"</f>
        <v>9190694</v>
      </c>
      <c r="C159" s="4" t="s">
        <v>804</v>
      </c>
      <c r="D159" s="3" t="s">
        <v>144</v>
      </c>
      <c r="E159" s="3" t="s">
        <v>144</v>
      </c>
      <c r="F159" s="3" t="s">
        <v>761</v>
      </c>
      <c r="G159" s="3">
        <v>2</v>
      </c>
      <c r="H159" s="3">
        <v>2</v>
      </c>
      <c r="I159" s="3" t="s">
        <v>38</v>
      </c>
      <c r="J159" s="3">
        <v>2392052263</v>
      </c>
      <c r="K159" s="4" t="s">
        <v>805</v>
      </c>
      <c r="L159" s="4" t="s">
        <v>806</v>
      </c>
      <c r="M159" s="3">
        <v>57019</v>
      </c>
      <c r="N159" s="3" t="str">
        <f>"40.498745"</f>
        <v>40.498745</v>
      </c>
      <c r="O159" s="3" t="str">
        <f>"22.874137"</f>
        <v>22.874137</v>
      </c>
      <c r="P159" s="3" t="s">
        <v>23</v>
      </c>
    </row>
    <row r="160" spans="1:16">
      <c r="A160" s="3" t="s">
        <v>19</v>
      </c>
      <c r="B160" s="3" t="str">
        <f>"9190560"</f>
        <v>9190560</v>
      </c>
      <c r="C160" s="4" t="s">
        <v>470</v>
      </c>
      <c r="D160" s="3" t="s">
        <v>144</v>
      </c>
      <c r="E160" s="3" t="s">
        <v>144</v>
      </c>
      <c r="F160" s="3" t="s">
        <v>469</v>
      </c>
      <c r="G160" s="3">
        <v>2</v>
      </c>
      <c r="H160" s="3">
        <v>2</v>
      </c>
      <c r="I160" s="3" t="s">
        <v>38</v>
      </c>
      <c r="J160" s="3">
        <v>2392025496</v>
      </c>
      <c r="K160" s="4" t="s">
        <v>471</v>
      </c>
      <c r="L160" s="4" t="s">
        <v>472</v>
      </c>
      <c r="M160" s="3">
        <v>57019</v>
      </c>
      <c r="N160" s="3" t="str">
        <f>"40.499670"</f>
        <v>40.499670</v>
      </c>
      <c r="O160" s="3" t="str">
        <f>"22.912637"</f>
        <v>22.912637</v>
      </c>
      <c r="P160" s="3" t="s">
        <v>23</v>
      </c>
    </row>
    <row r="161" spans="1:16">
      <c r="A161" s="3" t="s">
        <v>19</v>
      </c>
      <c r="B161" s="3" t="str">
        <f>"9190936"</f>
        <v>9190936</v>
      </c>
      <c r="C161" s="4" t="s">
        <v>486</v>
      </c>
      <c r="D161" s="3" t="s">
        <v>144</v>
      </c>
      <c r="E161" s="3" t="s">
        <v>144</v>
      </c>
      <c r="F161" s="3" t="s">
        <v>469</v>
      </c>
      <c r="G161" s="3">
        <v>2</v>
      </c>
      <c r="H161" s="3">
        <v>2</v>
      </c>
      <c r="I161" s="3" t="s">
        <v>38</v>
      </c>
      <c r="J161" s="3">
        <v>2392020377</v>
      </c>
      <c r="K161" s="4" t="s">
        <v>487</v>
      </c>
      <c r="L161" s="4" t="s">
        <v>488</v>
      </c>
      <c r="M161" s="3">
        <v>57019</v>
      </c>
      <c r="N161" s="3" t="str">
        <f>"40.502677"</f>
        <v>40.502677</v>
      </c>
      <c r="O161" s="3" t="str">
        <f>"22.916945"</f>
        <v>22.916945</v>
      </c>
      <c r="P161" s="3" t="s">
        <v>23</v>
      </c>
    </row>
    <row r="162" spans="1:16">
      <c r="A162" s="5" t="s">
        <v>19</v>
      </c>
      <c r="B162" s="5" t="str">
        <f>"9521524"</f>
        <v>9521524</v>
      </c>
      <c r="C162" s="6" t="s">
        <v>946</v>
      </c>
      <c r="D162" s="5" t="s">
        <v>144</v>
      </c>
      <c r="E162" s="5" t="s">
        <v>144</v>
      </c>
      <c r="F162" s="5" t="s">
        <v>469</v>
      </c>
      <c r="G162" s="5">
        <v>1</v>
      </c>
      <c r="H162" s="5">
        <v>1</v>
      </c>
      <c r="I162" s="5" t="s">
        <v>38</v>
      </c>
      <c r="J162" s="6" t="s">
        <v>56</v>
      </c>
      <c r="K162" s="6" t="s">
        <v>56</v>
      </c>
      <c r="L162" s="6" t="s">
        <v>937</v>
      </c>
      <c r="M162" s="6" t="s">
        <v>56</v>
      </c>
      <c r="N162" s="6" t="s">
        <v>56</v>
      </c>
      <c r="O162" s="6" t="s">
        <v>56</v>
      </c>
      <c r="P162" s="5" t="s">
        <v>24</v>
      </c>
    </row>
    <row r="163" spans="1:16">
      <c r="A163" s="3" t="s">
        <v>19</v>
      </c>
      <c r="B163" s="3" t="str">
        <f>"9190613"</f>
        <v>9190613</v>
      </c>
      <c r="C163" s="4" t="s">
        <v>809</v>
      </c>
      <c r="D163" s="3" t="s">
        <v>144</v>
      </c>
      <c r="E163" s="3" t="s">
        <v>144</v>
      </c>
      <c r="F163" s="3" t="s">
        <v>145</v>
      </c>
      <c r="G163" s="3">
        <v>1</v>
      </c>
      <c r="H163" s="3">
        <v>2</v>
      </c>
      <c r="I163" s="3" t="s">
        <v>38</v>
      </c>
      <c r="J163" s="3">
        <v>2392020515</v>
      </c>
      <c r="K163" s="4" t="s">
        <v>810</v>
      </c>
      <c r="L163" s="4" t="s">
        <v>496</v>
      </c>
      <c r="M163" s="3">
        <v>57019</v>
      </c>
      <c r="N163" s="3" t="str">
        <f>"40.502186"</f>
        <v>40.502186</v>
      </c>
      <c r="O163" s="3" t="str">
        <f>"22.928167"</f>
        <v>22.928167</v>
      </c>
      <c r="P163" s="3" t="s">
        <v>23</v>
      </c>
    </row>
    <row r="164" spans="1:16">
      <c r="A164" s="3" t="s">
        <v>19</v>
      </c>
      <c r="B164" s="3" t="str">
        <f>"9190926"</f>
        <v>9190926</v>
      </c>
      <c r="C164" s="4" t="s">
        <v>816</v>
      </c>
      <c r="D164" s="3" t="s">
        <v>144</v>
      </c>
      <c r="E164" s="3" t="s">
        <v>144</v>
      </c>
      <c r="F164" s="3" t="s">
        <v>145</v>
      </c>
      <c r="G164" s="3">
        <v>2</v>
      </c>
      <c r="H164" s="3">
        <v>2</v>
      </c>
      <c r="I164" s="3" t="s">
        <v>38</v>
      </c>
      <c r="J164" s="3">
        <v>2392028557</v>
      </c>
      <c r="K164" s="4" t="s">
        <v>817</v>
      </c>
      <c r="L164" s="4" t="s">
        <v>792</v>
      </c>
      <c r="M164" s="3">
        <v>57019</v>
      </c>
      <c r="N164" s="3" t="str">
        <f>"40.495252"</f>
        <v>40.495252</v>
      </c>
      <c r="O164" s="3" t="str">
        <f>"22.928543"</f>
        <v>22.928543</v>
      </c>
      <c r="P164" s="3" t="s">
        <v>23</v>
      </c>
    </row>
    <row r="165" spans="1:16">
      <c r="A165" s="3" t="s">
        <v>19</v>
      </c>
      <c r="B165" s="3" t="str">
        <f>"9190927"</f>
        <v>9190927</v>
      </c>
      <c r="C165" s="4" t="s">
        <v>494</v>
      </c>
      <c r="D165" s="3" t="s">
        <v>144</v>
      </c>
      <c r="E165" s="3" t="s">
        <v>144</v>
      </c>
      <c r="F165" s="3" t="s">
        <v>145</v>
      </c>
      <c r="G165" s="3">
        <v>2</v>
      </c>
      <c r="H165" s="3">
        <v>2</v>
      </c>
      <c r="I165" s="3" t="s">
        <v>38</v>
      </c>
      <c r="J165" s="3">
        <v>2392028864</v>
      </c>
      <c r="K165" s="4" t="s">
        <v>495</v>
      </c>
      <c r="L165" s="4" t="s">
        <v>496</v>
      </c>
      <c r="M165" s="3">
        <v>57019</v>
      </c>
      <c r="N165" s="3" t="str">
        <f>"40.502270"</f>
        <v>40.502270</v>
      </c>
      <c r="O165" s="3" t="str">
        <f>"22.927947"</f>
        <v>22.927947</v>
      </c>
      <c r="P165" s="3" t="s">
        <v>23</v>
      </c>
    </row>
    <row r="166" spans="1:16">
      <c r="A166" s="3" t="s">
        <v>19</v>
      </c>
      <c r="B166" s="3" t="str">
        <f>"9190499"</f>
        <v>9190499</v>
      </c>
      <c r="C166" s="4" t="s">
        <v>503</v>
      </c>
      <c r="D166" s="3" t="s">
        <v>144</v>
      </c>
      <c r="E166" s="3" t="s">
        <v>144</v>
      </c>
      <c r="F166" s="3" t="s">
        <v>145</v>
      </c>
      <c r="G166" s="3">
        <v>1</v>
      </c>
      <c r="H166" s="3">
        <v>2</v>
      </c>
      <c r="I166" s="3" t="s">
        <v>38</v>
      </c>
      <c r="J166" s="3">
        <v>2392075675</v>
      </c>
      <c r="K166" s="4" t="s">
        <v>504</v>
      </c>
      <c r="L166" s="4" t="s">
        <v>505</v>
      </c>
      <c r="M166" s="3">
        <v>57019</v>
      </c>
      <c r="N166" s="3" t="str">
        <f>"40.502346"</f>
        <v>40.502346</v>
      </c>
      <c r="O166" s="3" t="str">
        <f>"22.936875"</f>
        <v>22.936875</v>
      </c>
      <c r="P166" s="3" t="s">
        <v>23</v>
      </c>
    </row>
    <row r="167" spans="1:16">
      <c r="A167" s="3" t="s">
        <v>19</v>
      </c>
      <c r="B167" s="3" t="str">
        <f>"9190496"</f>
        <v>9190496</v>
      </c>
      <c r="C167" s="4" t="s">
        <v>536</v>
      </c>
      <c r="D167" s="3" t="s">
        <v>144</v>
      </c>
      <c r="E167" s="3" t="s">
        <v>144</v>
      </c>
      <c r="F167" s="3" t="s">
        <v>145</v>
      </c>
      <c r="G167" s="3">
        <v>2</v>
      </c>
      <c r="H167" s="3">
        <v>2</v>
      </c>
      <c r="I167" s="3" t="s">
        <v>38</v>
      </c>
      <c r="J167" s="3">
        <v>2392026904</v>
      </c>
      <c r="K167" s="4" t="s">
        <v>537</v>
      </c>
      <c r="L167" s="4" t="s">
        <v>538</v>
      </c>
      <c r="M167" s="3">
        <v>57019</v>
      </c>
      <c r="N167" s="3" t="str">
        <f>"40.505853"</f>
        <v>40.505853</v>
      </c>
      <c r="O167" s="3" t="str">
        <f>"22.922218"</f>
        <v>22.922218</v>
      </c>
      <c r="P167" s="3" t="s">
        <v>23</v>
      </c>
    </row>
    <row r="168" spans="1:16">
      <c r="A168" s="3" t="s">
        <v>19</v>
      </c>
      <c r="B168" s="3" t="str">
        <f>"9520975"</f>
        <v>9520975</v>
      </c>
      <c r="C168" s="4" t="s">
        <v>528</v>
      </c>
      <c r="D168" s="3" t="s">
        <v>144</v>
      </c>
      <c r="E168" s="3" t="s">
        <v>144</v>
      </c>
      <c r="F168" s="3" t="s">
        <v>145</v>
      </c>
      <c r="G168" s="3">
        <v>1</v>
      </c>
      <c r="H168" s="3">
        <v>2</v>
      </c>
      <c r="I168" s="3" t="s">
        <v>38</v>
      </c>
      <c r="J168" s="3">
        <v>2392022421</v>
      </c>
      <c r="K168" s="4" t="s">
        <v>529</v>
      </c>
      <c r="L168" s="4" t="s">
        <v>530</v>
      </c>
      <c r="M168" s="3">
        <v>57019</v>
      </c>
      <c r="N168" s="3" t="str">
        <f>"40.507131"</f>
        <v>40.507131</v>
      </c>
      <c r="O168" s="3" t="str">
        <f>"22.936547"</f>
        <v>22.936547</v>
      </c>
      <c r="P168" s="3" t="s">
        <v>23</v>
      </c>
    </row>
    <row r="169" spans="1:16">
      <c r="A169" s="3" t="s">
        <v>19</v>
      </c>
      <c r="B169" s="3" t="str">
        <f>"9190491"</f>
        <v>9190491</v>
      </c>
      <c r="C169" s="4" t="s">
        <v>883</v>
      </c>
      <c r="D169" s="3" t="s">
        <v>144</v>
      </c>
      <c r="E169" s="3" t="s">
        <v>144</v>
      </c>
      <c r="F169" s="3" t="s">
        <v>145</v>
      </c>
      <c r="G169" s="3">
        <v>1</v>
      </c>
      <c r="H169" s="3">
        <v>2</v>
      </c>
      <c r="I169" s="3" t="s">
        <v>38</v>
      </c>
      <c r="J169" s="3">
        <v>2392025385</v>
      </c>
      <c r="K169" s="4" t="s">
        <v>884</v>
      </c>
      <c r="L169" s="4" t="s">
        <v>885</v>
      </c>
      <c r="M169" s="3">
        <v>57019</v>
      </c>
      <c r="N169" s="3" t="str">
        <f>"40.507990"</f>
        <v>40.507990</v>
      </c>
      <c r="O169" s="3" t="str">
        <f>"22.928925"</f>
        <v>22.928925</v>
      </c>
      <c r="P169" s="3" t="s">
        <v>23</v>
      </c>
    </row>
    <row r="170" spans="1:16">
      <c r="A170" s="3" t="s">
        <v>19</v>
      </c>
      <c r="B170" s="3" t="str">
        <f>"9521444"</f>
        <v>9521444</v>
      </c>
      <c r="C170" s="4" t="s">
        <v>928</v>
      </c>
      <c r="D170" s="3" t="s">
        <v>144</v>
      </c>
      <c r="E170" s="3" t="s">
        <v>144</v>
      </c>
      <c r="F170" s="3" t="s">
        <v>145</v>
      </c>
      <c r="G170" s="3">
        <v>1</v>
      </c>
      <c r="H170" s="3">
        <v>2</v>
      </c>
      <c r="I170" s="3" t="s">
        <v>38</v>
      </c>
      <c r="J170" s="3">
        <v>2392306886</v>
      </c>
      <c r="K170" s="4" t="s">
        <v>929</v>
      </c>
      <c r="L170" s="4" t="s">
        <v>930</v>
      </c>
      <c r="M170" s="3">
        <v>57019</v>
      </c>
      <c r="N170" s="3" t="str">
        <f>"40.505902"</f>
        <v>40.505902</v>
      </c>
      <c r="O170" s="3" t="str">
        <f>"22.937545"</f>
        <v>22.937545</v>
      </c>
      <c r="P170" s="3" t="s">
        <v>23</v>
      </c>
    </row>
    <row r="171" spans="1:16">
      <c r="A171" s="3" t="s">
        <v>19</v>
      </c>
      <c r="B171" s="3" t="str">
        <f>"9190752"</f>
        <v>9190752</v>
      </c>
      <c r="C171" s="4" t="s">
        <v>758</v>
      </c>
      <c r="D171" s="3" t="s">
        <v>144</v>
      </c>
      <c r="E171" s="3" t="s">
        <v>323</v>
      </c>
      <c r="F171" s="3" t="s">
        <v>757</v>
      </c>
      <c r="G171" s="3">
        <v>1</v>
      </c>
      <c r="H171" s="3">
        <v>2</v>
      </c>
      <c r="I171" s="3" t="s">
        <v>38</v>
      </c>
      <c r="J171" s="3">
        <v>2392057004</v>
      </c>
      <c r="K171" s="4" t="s">
        <v>759</v>
      </c>
      <c r="L171" s="4" t="s">
        <v>760</v>
      </c>
      <c r="M171" s="3">
        <v>57004</v>
      </c>
      <c r="N171" s="3" t="str">
        <f>"40.497752"</f>
        <v>40.497752</v>
      </c>
      <c r="O171" s="3" t="str">
        <f>"22.835253"</f>
        <v>22.835253</v>
      </c>
      <c r="P171" s="3" t="s">
        <v>23</v>
      </c>
    </row>
    <row r="172" spans="1:16">
      <c r="A172" s="3" t="s">
        <v>19</v>
      </c>
      <c r="B172" s="3" t="str">
        <f>"9190754"</f>
        <v>9190754</v>
      </c>
      <c r="C172" s="4" t="s">
        <v>325</v>
      </c>
      <c r="D172" s="3" t="s">
        <v>144</v>
      </c>
      <c r="E172" s="3" t="s">
        <v>323</v>
      </c>
      <c r="F172" s="3" t="s">
        <v>324</v>
      </c>
      <c r="G172" s="3">
        <v>1</v>
      </c>
      <c r="H172" s="3">
        <v>2</v>
      </c>
      <c r="I172" s="3" t="s">
        <v>38</v>
      </c>
      <c r="J172" s="3">
        <v>2392036480</v>
      </c>
      <c r="K172" s="4" t="s">
        <v>326</v>
      </c>
      <c r="L172" s="4" t="s">
        <v>327</v>
      </c>
      <c r="M172" s="3">
        <v>57004</v>
      </c>
      <c r="N172" s="3" t="str">
        <f>"40.475603"</f>
        <v>40.475603</v>
      </c>
      <c r="O172" s="3" t="str">
        <f>"22.866616"</f>
        <v>22.866616</v>
      </c>
      <c r="P172" s="3" t="s">
        <v>23</v>
      </c>
    </row>
    <row r="173" spans="1:16">
      <c r="A173" s="3" t="s">
        <v>19</v>
      </c>
      <c r="B173" s="3" t="str">
        <f>"9190361"</f>
        <v>9190361</v>
      </c>
      <c r="C173" s="4" t="s">
        <v>813</v>
      </c>
      <c r="D173" s="3" t="s">
        <v>144</v>
      </c>
      <c r="E173" s="3" t="s">
        <v>323</v>
      </c>
      <c r="F173" s="3" t="s">
        <v>405</v>
      </c>
      <c r="G173" s="3">
        <v>2</v>
      </c>
      <c r="H173" s="3">
        <v>2</v>
      </c>
      <c r="I173" s="3" t="s">
        <v>38</v>
      </c>
      <c r="J173" s="3">
        <v>2392033111</v>
      </c>
      <c r="K173" s="4" t="s">
        <v>814</v>
      </c>
      <c r="L173" s="4" t="s">
        <v>815</v>
      </c>
      <c r="M173" s="3">
        <v>57004</v>
      </c>
      <c r="N173" s="3" t="str">
        <f>"40.465125"</f>
        <v>40.465125</v>
      </c>
      <c r="O173" s="3" t="str">
        <f>"22.862314"</f>
        <v>22.862314</v>
      </c>
      <c r="P173" s="3" t="s">
        <v>23</v>
      </c>
    </row>
    <row r="174" spans="1:16">
      <c r="A174" s="3" t="s">
        <v>19</v>
      </c>
      <c r="B174" s="3" t="str">
        <f>"9190612"</f>
        <v>9190612</v>
      </c>
      <c r="C174" s="4" t="s">
        <v>406</v>
      </c>
      <c r="D174" s="3" t="s">
        <v>144</v>
      </c>
      <c r="E174" s="3" t="s">
        <v>323</v>
      </c>
      <c r="F174" s="3" t="s">
        <v>405</v>
      </c>
      <c r="G174" s="3">
        <v>2</v>
      </c>
      <c r="H174" s="3">
        <v>2</v>
      </c>
      <c r="I174" s="3" t="s">
        <v>38</v>
      </c>
      <c r="J174" s="3">
        <v>2392035919</v>
      </c>
      <c r="K174" s="4" t="s">
        <v>407</v>
      </c>
      <c r="L174" s="4" t="s">
        <v>408</v>
      </c>
      <c r="M174" s="3">
        <v>57004</v>
      </c>
      <c r="N174" s="3" t="str">
        <f>"40.467191"</f>
        <v>40.467191</v>
      </c>
      <c r="O174" s="3" t="str">
        <f>"22.856103"</f>
        <v>22.856103</v>
      </c>
      <c r="P174" s="3" t="s">
        <v>23</v>
      </c>
    </row>
    <row r="175" spans="1:16">
      <c r="A175" s="3" t="s">
        <v>19</v>
      </c>
      <c r="B175" s="3" t="str">
        <f>"9190902"</f>
        <v>9190902</v>
      </c>
      <c r="C175" s="4" t="s">
        <v>432</v>
      </c>
      <c r="D175" s="3" t="s">
        <v>144</v>
      </c>
      <c r="E175" s="3" t="s">
        <v>323</v>
      </c>
      <c r="F175" s="3" t="s">
        <v>405</v>
      </c>
      <c r="G175" s="3">
        <v>2</v>
      </c>
      <c r="H175" s="3">
        <v>2</v>
      </c>
      <c r="I175" s="3" t="s">
        <v>38</v>
      </c>
      <c r="J175" s="3">
        <v>2392035760</v>
      </c>
      <c r="K175" s="4" t="s">
        <v>433</v>
      </c>
      <c r="L175" s="4" t="s">
        <v>434</v>
      </c>
      <c r="M175" s="3">
        <v>57004</v>
      </c>
      <c r="N175" s="3" t="str">
        <f>"40.468561"</f>
        <v>40.468561</v>
      </c>
      <c r="O175" s="3" t="str">
        <f>"22.859525"</f>
        <v>22.859525</v>
      </c>
      <c r="P175" s="3" t="s">
        <v>23</v>
      </c>
    </row>
    <row r="176" spans="1:16">
      <c r="A176" s="3" t="s">
        <v>19</v>
      </c>
      <c r="B176" s="3" t="str">
        <f>"9520586"</f>
        <v>9520586</v>
      </c>
      <c r="C176" s="4" t="s">
        <v>460</v>
      </c>
      <c r="D176" s="3" t="s">
        <v>144</v>
      </c>
      <c r="E176" s="3" t="s">
        <v>323</v>
      </c>
      <c r="F176" s="3" t="s">
        <v>405</v>
      </c>
      <c r="G176" s="3">
        <v>2</v>
      </c>
      <c r="H176" s="3">
        <v>2</v>
      </c>
      <c r="I176" s="3" t="s">
        <v>38</v>
      </c>
      <c r="J176" s="3">
        <v>2392035727</v>
      </c>
      <c r="K176" s="4" t="s">
        <v>461</v>
      </c>
      <c r="L176" s="4" t="s">
        <v>462</v>
      </c>
      <c r="M176" s="3">
        <v>57004</v>
      </c>
      <c r="N176" s="3" t="str">
        <f>"40.459541"</f>
        <v>40.459541</v>
      </c>
      <c r="O176" s="3" t="str">
        <f>"22.867013"</f>
        <v>22.867013</v>
      </c>
      <c r="P176" s="3" t="s">
        <v>23</v>
      </c>
    </row>
    <row r="177" spans="1:16">
      <c r="A177" s="5" t="s">
        <v>19</v>
      </c>
      <c r="B177" s="5" t="str">
        <f>"9521597"</f>
        <v>9521597</v>
      </c>
      <c r="C177" s="6" t="s">
        <v>950</v>
      </c>
      <c r="D177" s="5" t="s">
        <v>144</v>
      </c>
      <c r="E177" s="5" t="s">
        <v>323</v>
      </c>
      <c r="F177" s="5" t="s">
        <v>405</v>
      </c>
      <c r="G177" s="5">
        <v>1</v>
      </c>
      <c r="H177" s="5">
        <v>1</v>
      </c>
      <c r="I177" s="5" t="s">
        <v>38</v>
      </c>
      <c r="J177" s="6" t="s">
        <v>56</v>
      </c>
      <c r="K177" s="6" t="s">
        <v>56</v>
      </c>
      <c r="L177" s="6" t="s">
        <v>937</v>
      </c>
      <c r="M177" s="6" t="s">
        <v>56</v>
      </c>
      <c r="N177" s="6" t="s">
        <v>56</v>
      </c>
      <c r="O177" s="6" t="s">
        <v>56</v>
      </c>
      <c r="P177" s="5" t="s">
        <v>24</v>
      </c>
    </row>
    <row r="178" spans="1:16">
      <c r="A178" s="3" t="s">
        <v>19</v>
      </c>
      <c r="B178" s="3" t="str">
        <f>"9190334"</f>
        <v>9190334</v>
      </c>
      <c r="C178" s="4" t="s">
        <v>931</v>
      </c>
      <c r="D178" s="3" t="s">
        <v>39</v>
      </c>
      <c r="E178" s="3" t="s">
        <v>258</v>
      </c>
      <c r="F178" s="3" t="s">
        <v>777</v>
      </c>
      <c r="G178" s="3">
        <v>2</v>
      </c>
      <c r="H178" s="3">
        <v>2</v>
      </c>
      <c r="I178" s="3" t="s">
        <v>38</v>
      </c>
      <c r="J178" s="3">
        <v>2396041593</v>
      </c>
      <c r="K178" s="4" t="s">
        <v>932</v>
      </c>
      <c r="L178" s="4" t="s">
        <v>780</v>
      </c>
      <c r="M178" s="3">
        <v>57001</v>
      </c>
      <c r="N178" s="3" t="str">
        <f>"40.483652"</f>
        <v>40.483652</v>
      </c>
      <c r="O178" s="3" t="str">
        <f>"23.051759"</f>
        <v>23.051759</v>
      </c>
      <c r="P178" s="3" t="s">
        <v>23</v>
      </c>
    </row>
    <row r="179" spans="1:16">
      <c r="A179" s="3" t="s">
        <v>19</v>
      </c>
      <c r="B179" s="3" t="str">
        <f>"9190337"</f>
        <v>9190337</v>
      </c>
      <c r="C179" s="4" t="s">
        <v>477</v>
      </c>
      <c r="D179" s="3" t="s">
        <v>39</v>
      </c>
      <c r="E179" s="3" t="s">
        <v>258</v>
      </c>
      <c r="F179" s="3" t="s">
        <v>476</v>
      </c>
      <c r="G179" s="3">
        <v>1</v>
      </c>
      <c r="H179" s="3">
        <v>1</v>
      </c>
      <c r="I179" s="3" t="s">
        <v>38</v>
      </c>
      <c r="J179" s="3">
        <v>2396041008</v>
      </c>
      <c r="K179" s="4" t="s">
        <v>478</v>
      </c>
      <c r="L179" s="4" t="s">
        <v>479</v>
      </c>
      <c r="M179" s="3">
        <v>57006</v>
      </c>
      <c r="N179" s="3" t="str">
        <f>"40.435917"</f>
        <v>40.435917</v>
      </c>
      <c r="O179" s="3" t="str">
        <f>"23.091395"</f>
        <v>23.091395</v>
      </c>
      <c r="P179" s="3" t="s">
        <v>23</v>
      </c>
    </row>
    <row r="180" spans="1:16">
      <c r="A180" s="3" t="s">
        <v>19</v>
      </c>
      <c r="B180" s="3" t="str">
        <f>"9190342"</f>
        <v>9190342</v>
      </c>
      <c r="C180" s="4" t="s">
        <v>807</v>
      </c>
      <c r="D180" s="3" t="s">
        <v>39</v>
      </c>
      <c r="E180" s="3" t="s">
        <v>258</v>
      </c>
      <c r="F180" s="3" t="s">
        <v>258</v>
      </c>
      <c r="G180" s="3">
        <v>2</v>
      </c>
      <c r="H180" s="3">
        <v>2</v>
      </c>
      <c r="I180" s="3" t="s">
        <v>38</v>
      </c>
      <c r="J180" s="3">
        <v>2396023491</v>
      </c>
      <c r="K180" s="4" t="s">
        <v>808</v>
      </c>
      <c r="L180" s="4" t="s">
        <v>732</v>
      </c>
      <c r="M180" s="3">
        <v>57006</v>
      </c>
      <c r="N180" s="3" t="str">
        <f>"40.478787"</f>
        <v>40.478787</v>
      </c>
      <c r="O180" s="3" t="str">
        <f>"23.140477"</f>
        <v>23.140477</v>
      </c>
      <c r="P180" s="3" t="s">
        <v>23</v>
      </c>
    </row>
    <row r="181" spans="1:16">
      <c r="A181" s="3" t="s">
        <v>19</v>
      </c>
      <c r="B181" s="3" t="str">
        <f>"9190611"</f>
        <v>9190611</v>
      </c>
      <c r="C181" s="4" t="s">
        <v>730</v>
      </c>
      <c r="D181" s="3" t="s">
        <v>39</v>
      </c>
      <c r="E181" s="3" t="s">
        <v>258</v>
      </c>
      <c r="F181" s="3" t="s">
        <v>258</v>
      </c>
      <c r="G181" s="3">
        <v>2</v>
      </c>
      <c r="H181" s="3">
        <v>2</v>
      </c>
      <c r="I181" s="3" t="s">
        <v>38</v>
      </c>
      <c r="J181" s="3">
        <v>2396022946</v>
      </c>
      <c r="K181" s="4" t="s">
        <v>731</v>
      </c>
      <c r="L181" s="4" t="s">
        <v>732</v>
      </c>
      <c r="M181" s="3">
        <v>57006</v>
      </c>
      <c r="N181" s="3" t="str">
        <f>"40.480024"</f>
        <v>40.480024</v>
      </c>
      <c r="O181" s="3" t="str">
        <f>"23.138470"</f>
        <v>23.138470</v>
      </c>
      <c r="P181" s="3" t="s">
        <v>23</v>
      </c>
    </row>
    <row r="182" spans="1:16">
      <c r="A182" s="5" t="s">
        <v>19</v>
      </c>
      <c r="B182" s="5" t="str">
        <f>"9521229"</f>
        <v>9521229</v>
      </c>
      <c r="C182" s="6" t="s">
        <v>882</v>
      </c>
      <c r="D182" s="5" t="s">
        <v>39</v>
      </c>
      <c r="E182" s="5" t="s">
        <v>258</v>
      </c>
      <c r="F182" s="5" t="s">
        <v>258</v>
      </c>
      <c r="G182" s="5">
        <v>1</v>
      </c>
      <c r="H182" s="5">
        <v>1</v>
      </c>
      <c r="I182" s="5" t="s">
        <v>38</v>
      </c>
      <c r="J182" s="6" t="s">
        <v>56</v>
      </c>
      <c r="K182" s="6" t="s">
        <v>56</v>
      </c>
      <c r="L182" s="6" t="s">
        <v>937</v>
      </c>
      <c r="M182" s="6" t="s">
        <v>56</v>
      </c>
      <c r="N182" s="6" t="s">
        <v>56</v>
      </c>
      <c r="O182" s="6" t="s">
        <v>56</v>
      </c>
      <c r="P182" s="5" t="s">
        <v>24</v>
      </c>
    </row>
    <row r="183" spans="1:16">
      <c r="A183" s="3" t="s">
        <v>19</v>
      </c>
      <c r="B183" s="3" t="str">
        <f>"9190938"</f>
        <v>9190938</v>
      </c>
      <c r="C183" s="4" t="s">
        <v>801</v>
      </c>
      <c r="D183" s="3" t="s">
        <v>39</v>
      </c>
      <c r="E183" s="3" t="s">
        <v>258</v>
      </c>
      <c r="F183" s="3" t="s">
        <v>258</v>
      </c>
      <c r="G183" s="3">
        <v>1</v>
      </c>
      <c r="H183" s="3">
        <v>1</v>
      </c>
      <c r="I183" s="3" t="s">
        <v>38</v>
      </c>
      <c r="J183" s="3">
        <v>2396022715</v>
      </c>
      <c r="K183" s="4" t="s">
        <v>802</v>
      </c>
      <c r="L183" s="4" t="s">
        <v>803</v>
      </c>
      <c r="M183" s="3">
        <v>57006</v>
      </c>
      <c r="N183" s="3" t="str">
        <f>"40.514790"</f>
        <v>40.514790</v>
      </c>
      <c r="O183" s="3" t="str">
        <f>"23.109192"</f>
        <v>23.109192</v>
      </c>
      <c r="P183" s="3" t="s">
        <v>23</v>
      </c>
    </row>
    <row r="184" spans="1:16">
      <c r="A184" s="3" t="s">
        <v>19</v>
      </c>
      <c r="B184" s="3" t="str">
        <f>"9190480"</f>
        <v>9190480</v>
      </c>
      <c r="C184" s="4" t="s">
        <v>457</v>
      </c>
      <c r="D184" s="3" t="s">
        <v>39</v>
      </c>
      <c r="E184" s="3" t="s">
        <v>258</v>
      </c>
      <c r="F184" s="3" t="s">
        <v>456</v>
      </c>
      <c r="G184" s="3">
        <v>1</v>
      </c>
      <c r="H184" s="3">
        <v>1</v>
      </c>
      <c r="I184" s="3" t="s">
        <v>455</v>
      </c>
      <c r="J184" s="3">
        <v>2396051171</v>
      </c>
      <c r="K184" s="4" t="s">
        <v>458</v>
      </c>
      <c r="L184" s="4" t="s">
        <v>459</v>
      </c>
      <c r="M184" s="3">
        <v>57006</v>
      </c>
      <c r="N184" s="3" t="str">
        <f>"40.545365"</f>
        <v>40.545365</v>
      </c>
      <c r="O184" s="3" t="str">
        <f>"23.164354"</f>
        <v>23.164354</v>
      </c>
      <c r="P184" s="3" t="s">
        <v>23</v>
      </c>
    </row>
    <row r="185" spans="1:16">
      <c r="A185" s="3" t="s">
        <v>19</v>
      </c>
      <c r="B185" s="3" t="str">
        <f>"9190751"</f>
        <v>9190751</v>
      </c>
      <c r="C185" s="4" t="s">
        <v>260</v>
      </c>
      <c r="D185" s="3" t="s">
        <v>39</v>
      </c>
      <c r="E185" s="3" t="s">
        <v>258</v>
      </c>
      <c r="F185" s="3" t="s">
        <v>259</v>
      </c>
      <c r="G185" s="3">
        <v>1</v>
      </c>
      <c r="H185" s="3">
        <v>2</v>
      </c>
      <c r="I185" s="3" t="s">
        <v>38</v>
      </c>
      <c r="J185" s="3">
        <v>2396041308</v>
      </c>
      <c r="K185" s="4" t="s">
        <v>261</v>
      </c>
      <c r="L185" s="4" t="s">
        <v>262</v>
      </c>
      <c r="M185" s="3">
        <v>57006</v>
      </c>
      <c r="N185" s="3" t="str">
        <f>"40.473584"</f>
        <v>40.473584</v>
      </c>
      <c r="O185" s="3" t="str">
        <f>"23.089629"</f>
        <v>23.089629</v>
      </c>
      <c r="P185" s="3" t="s">
        <v>23</v>
      </c>
    </row>
    <row r="186" spans="1:16">
      <c r="A186" s="3" t="s">
        <v>19</v>
      </c>
      <c r="B186" s="3" t="str">
        <f>"9190353"</f>
        <v>9190353</v>
      </c>
      <c r="C186" s="4" t="s">
        <v>249</v>
      </c>
      <c r="D186" s="3" t="s">
        <v>39</v>
      </c>
      <c r="E186" s="3" t="s">
        <v>39</v>
      </c>
      <c r="F186" s="3" t="s">
        <v>39</v>
      </c>
      <c r="G186" s="3">
        <v>3</v>
      </c>
      <c r="H186" s="3">
        <v>3</v>
      </c>
      <c r="I186" s="3" t="s">
        <v>16</v>
      </c>
      <c r="J186" s="3">
        <v>2310461991</v>
      </c>
      <c r="K186" s="4" t="s">
        <v>250</v>
      </c>
      <c r="L186" s="4" t="s">
        <v>251</v>
      </c>
      <c r="M186" s="3">
        <v>57001</v>
      </c>
      <c r="N186" s="3" t="str">
        <f>"40.546294"</f>
        <v>40.546294</v>
      </c>
      <c r="O186" s="3" t="str">
        <f>"23.018521"</f>
        <v>23.018521</v>
      </c>
      <c r="P186" s="3" t="s">
        <v>23</v>
      </c>
    </row>
    <row r="187" spans="1:16">
      <c r="A187" s="3" t="s">
        <v>19</v>
      </c>
      <c r="B187" s="3" t="str">
        <f>"9190782"</f>
        <v>9190782</v>
      </c>
      <c r="C187" s="4" t="s">
        <v>343</v>
      </c>
      <c r="D187" s="3" t="s">
        <v>39</v>
      </c>
      <c r="E187" s="3" t="s">
        <v>39</v>
      </c>
      <c r="F187" s="3" t="s">
        <v>39</v>
      </c>
      <c r="G187" s="3">
        <v>1</v>
      </c>
      <c r="H187" s="3">
        <v>2</v>
      </c>
      <c r="I187" s="3" t="s">
        <v>38</v>
      </c>
      <c r="J187" s="3">
        <v>2310477248</v>
      </c>
      <c r="K187" s="4" t="s">
        <v>344</v>
      </c>
      <c r="L187" s="4" t="s">
        <v>345</v>
      </c>
      <c r="M187" s="3">
        <v>57001</v>
      </c>
      <c r="N187" s="3" t="str">
        <f>"40.545350"</f>
        <v>40.545350</v>
      </c>
      <c r="O187" s="3" t="str">
        <f>"23.050222"</f>
        <v>23.050222</v>
      </c>
      <c r="P187" s="3" t="s">
        <v>23</v>
      </c>
    </row>
    <row r="188" spans="1:16">
      <c r="A188" s="3" t="s">
        <v>19</v>
      </c>
      <c r="B188" s="3" t="str">
        <f>"9190830"</f>
        <v>9190830</v>
      </c>
      <c r="C188" s="4" t="s">
        <v>272</v>
      </c>
      <c r="D188" s="3" t="s">
        <v>39</v>
      </c>
      <c r="E188" s="3" t="s">
        <v>39</v>
      </c>
      <c r="F188" s="3" t="s">
        <v>39</v>
      </c>
      <c r="G188" s="3">
        <v>2</v>
      </c>
      <c r="H188" s="3">
        <v>2</v>
      </c>
      <c r="I188" s="3" t="s">
        <v>16</v>
      </c>
      <c r="J188" s="3">
        <v>2310465704</v>
      </c>
      <c r="K188" s="4" t="s">
        <v>273</v>
      </c>
      <c r="L188" s="4" t="s">
        <v>274</v>
      </c>
      <c r="M188" s="3">
        <v>57001</v>
      </c>
      <c r="N188" s="3" t="str">
        <f>"40.552705"</f>
        <v>40.552705</v>
      </c>
      <c r="O188" s="3" t="str">
        <f>"23.022235"</f>
        <v>23.022235</v>
      </c>
      <c r="P188" s="3" t="s">
        <v>23</v>
      </c>
    </row>
    <row r="189" spans="1:16">
      <c r="A189" s="3" t="s">
        <v>19</v>
      </c>
      <c r="B189" s="3" t="str">
        <f>"9520658"</f>
        <v>9520658</v>
      </c>
      <c r="C189" s="4" t="s">
        <v>447</v>
      </c>
      <c r="D189" s="3" t="s">
        <v>39</v>
      </c>
      <c r="E189" s="3" t="s">
        <v>39</v>
      </c>
      <c r="F189" s="3" t="s">
        <v>39</v>
      </c>
      <c r="G189" s="3">
        <v>1</v>
      </c>
      <c r="H189" s="3">
        <v>1</v>
      </c>
      <c r="I189" s="3" t="s">
        <v>38</v>
      </c>
      <c r="J189" s="3">
        <v>2310466299</v>
      </c>
      <c r="K189" s="4" t="s">
        <v>448</v>
      </c>
      <c r="L189" s="4" t="s">
        <v>449</v>
      </c>
      <c r="M189" s="3">
        <v>57001</v>
      </c>
      <c r="N189" s="3" t="str">
        <f>"40.534272"</f>
        <v>40.534272</v>
      </c>
      <c r="O189" s="3" t="str">
        <f>"23.030624"</f>
        <v>23.030624</v>
      </c>
      <c r="P189" s="3" t="s">
        <v>23</v>
      </c>
    </row>
    <row r="190" spans="1:16">
      <c r="A190" s="3" t="s">
        <v>19</v>
      </c>
      <c r="B190" s="3" t="str">
        <f>"9190925"</f>
        <v>9190925</v>
      </c>
      <c r="C190" s="4" t="s">
        <v>235</v>
      </c>
      <c r="D190" s="3" t="s">
        <v>39</v>
      </c>
      <c r="E190" s="3" t="s">
        <v>39</v>
      </c>
      <c r="F190" s="3" t="s">
        <v>39</v>
      </c>
      <c r="G190" s="3">
        <v>2</v>
      </c>
      <c r="H190" s="3">
        <v>2</v>
      </c>
      <c r="I190" s="3" t="s">
        <v>16</v>
      </c>
      <c r="J190" s="3">
        <v>2310466066</v>
      </c>
      <c r="K190" s="4" t="s">
        <v>236</v>
      </c>
      <c r="L190" s="4" t="s">
        <v>237</v>
      </c>
      <c r="M190" s="3">
        <v>57001</v>
      </c>
      <c r="N190" s="3" t="str">
        <f>"40.547760"</f>
        <v>40.547760</v>
      </c>
      <c r="O190" s="3" t="str">
        <f>"23.025829"</f>
        <v>23.025829</v>
      </c>
      <c r="P190" s="3" t="s">
        <v>23</v>
      </c>
    </row>
    <row r="191" spans="1:16">
      <c r="A191" s="3" t="s">
        <v>19</v>
      </c>
      <c r="B191" s="3" t="str">
        <f>"9520974"</f>
        <v>9520974</v>
      </c>
      <c r="C191" s="4" t="s">
        <v>519</v>
      </c>
      <c r="D191" s="3" t="s">
        <v>39</v>
      </c>
      <c r="E191" s="3" t="s">
        <v>39</v>
      </c>
      <c r="F191" s="3" t="s">
        <v>39</v>
      </c>
      <c r="G191" s="3">
        <v>2</v>
      </c>
      <c r="H191" s="3">
        <v>2</v>
      </c>
      <c r="I191" s="3" t="s">
        <v>38</v>
      </c>
      <c r="J191" s="3">
        <v>2310465703</v>
      </c>
      <c r="K191" s="4" t="s">
        <v>520</v>
      </c>
      <c r="L191" s="4" t="s">
        <v>521</v>
      </c>
      <c r="M191" s="3">
        <v>57001</v>
      </c>
      <c r="N191" s="3" t="str">
        <f>"40.551189"</f>
        <v>40.551189</v>
      </c>
      <c r="O191" s="3" t="str">
        <f>"23.049567"</f>
        <v>23.049567</v>
      </c>
      <c r="P191" s="3" t="s">
        <v>23</v>
      </c>
    </row>
    <row r="192" spans="1:16">
      <c r="A192" s="3" t="s">
        <v>19</v>
      </c>
      <c r="B192" s="3" t="str">
        <f>"9190935"</f>
        <v>9190935</v>
      </c>
      <c r="C192" s="4" t="s">
        <v>392</v>
      </c>
      <c r="D192" s="3" t="s">
        <v>39</v>
      </c>
      <c r="E192" s="3" t="s">
        <v>39</v>
      </c>
      <c r="F192" s="3" t="s">
        <v>39</v>
      </c>
      <c r="G192" s="3">
        <v>2</v>
      </c>
      <c r="H192" s="3">
        <v>2</v>
      </c>
      <c r="I192" s="3" t="s">
        <v>16</v>
      </c>
      <c r="J192" s="3">
        <v>2310465289</v>
      </c>
      <c r="K192" s="4" t="s">
        <v>393</v>
      </c>
      <c r="L192" s="4" t="s">
        <v>394</v>
      </c>
      <c r="M192" s="3">
        <v>57001</v>
      </c>
      <c r="N192" s="3" t="str">
        <f>"40.545705"</f>
        <v>40.545705</v>
      </c>
      <c r="O192" s="3" t="str">
        <f>"23.023613"</f>
        <v>23.023613</v>
      </c>
      <c r="P192" s="3" t="s">
        <v>23</v>
      </c>
    </row>
    <row r="193" spans="1:16">
      <c r="A193" s="3" t="s">
        <v>19</v>
      </c>
      <c r="B193" s="3" t="str">
        <f>"9520585"</f>
        <v>9520585</v>
      </c>
      <c r="C193" s="4" t="s">
        <v>211</v>
      </c>
      <c r="D193" s="3" t="s">
        <v>39</v>
      </c>
      <c r="E193" s="3" t="s">
        <v>39</v>
      </c>
      <c r="F193" s="3" t="s">
        <v>39</v>
      </c>
      <c r="G193" s="3">
        <v>3</v>
      </c>
      <c r="H193" s="3">
        <v>3</v>
      </c>
      <c r="I193" s="3" t="s">
        <v>16</v>
      </c>
      <c r="J193" s="3">
        <v>2310471142</v>
      </c>
      <c r="K193" s="4" t="s">
        <v>212</v>
      </c>
      <c r="L193" s="4" t="s">
        <v>213</v>
      </c>
      <c r="M193" s="3">
        <v>57001</v>
      </c>
      <c r="N193" s="3" t="str">
        <f>"40.548520"</f>
        <v>40.548520</v>
      </c>
      <c r="O193" s="3" t="str">
        <f>"23.019646"</f>
        <v>23.019646</v>
      </c>
      <c r="P193" s="3" t="s">
        <v>23</v>
      </c>
    </row>
    <row r="194" spans="1:16">
      <c r="A194" s="3" t="s">
        <v>19</v>
      </c>
      <c r="B194" s="3" t="str">
        <f>"9521525"</f>
        <v>9521525</v>
      </c>
      <c r="C194" s="4" t="s">
        <v>940</v>
      </c>
      <c r="D194" s="3" t="s">
        <v>39</v>
      </c>
      <c r="E194" s="3" t="s">
        <v>39</v>
      </c>
      <c r="F194" s="3" t="s">
        <v>39</v>
      </c>
      <c r="G194" s="3">
        <v>2</v>
      </c>
      <c r="H194" s="3">
        <v>2</v>
      </c>
      <c r="I194" s="3" t="s">
        <v>16</v>
      </c>
      <c r="J194" s="3">
        <v>2310365970</v>
      </c>
      <c r="K194" s="4" t="s">
        <v>941</v>
      </c>
      <c r="L194" s="4" t="s">
        <v>942</v>
      </c>
      <c r="M194" s="3">
        <v>57001</v>
      </c>
      <c r="N194" s="3" t="str">
        <f>"40.543689"</f>
        <v>40.543689</v>
      </c>
      <c r="O194" s="3" t="str">
        <f>"23.014232"</f>
        <v>23.014232</v>
      </c>
      <c r="P194" s="3" t="s">
        <v>23</v>
      </c>
    </row>
    <row r="195" spans="1:16">
      <c r="A195" s="3" t="s">
        <v>19</v>
      </c>
      <c r="B195" s="3" t="str">
        <f>"9521676"</f>
        <v>9521676</v>
      </c>
      <c r="C195" s="4" t="s">
        <v>959</v>
      </c>
      <c r="D195" s="3" t="s">
        <v>39</v>
      </c>
      <c r="E195" s="3" t="s">
        <v>39</v>
      </c>
      <c r="F195" s="3" t="s">
        <v>39</v>
      </c>
      <c r="G195" s="3">
        <v>1</v>
      </c>
      <c r="H195" s="3">
        <v>2</v>
      </c>
      <c r="I195" s="3" t="s">
        <v>16</v>
      </c>
      <c r="J195" s="3">
        <v>2396309016</v>
      </c>
      <c r="K195" s="4" t="s">
        <v>960</v>
      </c>
      <c r="L195" s="4" t="s">
        <v>961</v>
      </c>
      <c r="M195" s="3">
        <v>57001</v>
      </c>
      <c r="N195" s="3" t="str">
        <f>"40.547675"</f>
        <v>40.547675</v>
      </c>
      <c r="O195" s="3" t="str">
        <f>"23.049690"</f>
        <v>23.049690</v>
      </c>
      <c r="P195" s="3" t="s">
        <v>23</v>
      </c>
    </row>
    <row r="196" spans="1:16">
      <c r="A196" s="5" t="s">
        <v>19</v>
      </c>
      <c r="B196" s="5" t="str">
        <f>"9191001"</f>
        <v>9191001</v>
      </c>
      <c r="C196" s="6" t="s">
        <v>965</v>
      </c>
      <c r="D196" s="5" t="s">
        <v>39</v>
      </c>
      <c r="E196" s="5" t="s">
        <v>39</v>
      </c>
      <c r="F196" s="5" t="s">
        <v>39</v>
      </c>
      <c r="G196" s="5">
        <v>1</v>
      </c>
      <c r="H196" s="5">
        <v>2</v>
      </c>
      <c r="I196" s="5"/>
      <c r="J196" s="6" t="s">
        <v>56</v>
      </c>
      <c r="K196" s="6" t="s">
        <v>56</v>
      </c>
      <c r="L196" s="6" t="s">
        <v>937</v>
      </c>
      <c r="M196" s="6" t="s">
        <v>56</v>
      </c>
      <c r="N196" s="6" t="s">
        <v>56</v>
      </c>
      <c r="O196" s="6" t="s">
        <v>56</v>
      </c>
      <c r="P196" s="5" t="s">
        <v>24</v>
      </c>
    </row>
    <row r="197" spans="1:16">
      <c r="A197" s="3" t="s">
        <v>19</v>
      </c>
      <c r="B197" s="3" t="str">
        <f>"9190702"</f>
        <v>9190702</v>
      </c>
      <c r="C197" s="4" t="s">
        <v>179</v>
      </c>
      <c r="D197" s="3" t="s">
        <v>39</v>
      </c>
      <c r="E197" s="3" t="s">
        <v>39</v>
      </c>
      <c r="F197" s="3" t="s">
        <v>178</v>
      </c>
      <c r="G197" s="3">
        <v>2</v>
      </c>
      <c r="H197" s="3">
        <v>3</v>
      </c>
      <c r="I197" s="3" t="s">
        <v>38</v>
      </c>
      <c r="J197" s="3">
        <v>2310466973</v>
      </c>
      <c r="K197" s="4" t="s">
        <v>180</v>
      </c>
      <c r="L197" s="4" t="s">
        <v>181</v>
      </c>
      <c r="M197" s="3">
        <v>57001</v>
      </c>
      <c r="N197" s="3" t="str">
        <f>"40.525552"</f>
        <v>40.525552</v>
      </c>
      <c r="O197" s="3" t="str">
        <f>"23.051447"</f>
        <v>23.051447</v>
      </c>
      <c r="P197" s="3" t="s">
        <v>23</v>
      </c>
    </row>
    <row r="198" spans="1:16">
      <c r="A198" s="3" t="s">
        <v>19</v>
      </c>
      <c r="B198" s="3" t="str">
        <f>"9521446"</f>
        <v>9521446</v>
      </c>
      <c r="C198" s="4" t="s">
        <v>898</v>
      </c>
      <c r="D198" s="3" t="s">
        <v>39</v>
      </c>
      <c r="E198" s="3" t="s">
        <v>39</v>
      </c>
      <c r="F198" s="3" t="s">
        <v>178</v>
      </c>
      <c r="G198" s="3">
        <v>2</v>
      </c>
      <c r="H198" s="3">
        <v>2</v>
      </c>
      <c r="I198" s="3" t="s">
        <v>38</v>
      </c>
      <c r="J198" s="3">
        <v>2310365945</v>
      </c>
      <c r="K198" s="4" t="s">
        <v>899</v>
      </c>
      <c r="L198" s="4" t="s">
        <v>900</v>
      </c>
      <c r="M198" s="3">
        <v>57001</v>
      </c>
      <c r="N198" s="3" t="str">
        <f>"40.525770"</f>
        <v>40.525770</v>
      </c>
      <c r="O198" s="3" t="str">
        <f>"23.047802"</f>
        <v>23.047802</v>
      </c>
      <c r="P198" s="3" t="s">
        <v>23</v>
      </c>
    </row>
    <row r="199" spans="1:16">
      <c r="A199" s="3" t="s">
        <v>19</v>
      </c>
      <c r="B199" s="3" t="str">
        <f>"9190731"</f>
        <v>9190731</v>
      </c>
      <c r="C199" s="4" t="s">
        <v>551</v>
      </c>
      <c r="D199" s="3" t="s">
        <v>39</v>
      </c>
      <c r="E199" s="3" t="s">
        <v>39</v>
      </c>
      <c r="F199" s="3" t="s">
        <v>550</v>
      </c>
      <c r="G199" s="3">
        <v>2</v>
      </c>
      <c r="H199" s="3">
        <v>2</v>
      </c>
      <c r="I199" s="3" t="s">
        <v>38</v>
      </c>
      <c r="J199" s="3">
        <v>2392071213</v>
      </c>
      <c r="K199" s="4" t="s">
        <v>552</v>
      </c>
      <c r="L199" s="4" t="s">
        <v>553</v>
      </c>
      <c r="M199" s="3">
        <v>57001</v>
      </c>
      <c r="N199" s="3" t="str">
        <f>"40.495890"</f>
        <v>40.495890</v>
      </c>
      <c r="O199" s="3" t="str">
        <f>"22.987437"</f>
        <v>22.987437</v>
      </c>
      <c r="P199" s="3" t="s">
        <v>23</v>
      </c>
    </row>
    <row r="200" spans="1:16">
      <c r="A200" s="3" t="s">
        <v>19</v>
      </c>
      <c r="B200" s="3" t="str">
        <f>"9521447"</f>
        <v>9521447</v>
      </c>
      <c r="C200" s="4" t="s">
        <v>901</v>
      </c>
      <c r="D200" s="3" t="s">
        <v>39</v>
      </c>
      <c r="E200" s="3" t="s">
        <v>39</v>
      </c>
      <c r="F200" s="3" t="s">
        <v>550</v>
      </c>
      <c r="G200" s="3">
        <v>1</v>
      </c>
      <c r="H200" s="3">
        <v>1</v>
      </c>
      <c r="I200" s="3" t="s">
        <v>38</v>
      </c>
      <c r="J200" s="3">
        <v>2392073435</v>
      </c>
      <c r="K200" s="4" t="s">
        <v>902</v>
      </c>
      <c r="L200" s="4" t="s">
        <v>903</v>
      </c>
      <c r="M200" s="3">
        <v>57001</v>
      </c>
      <c r="N200" s="3" t="str">
        <f>"40.493252"</f>
        <v>40.493252</v>
      </c>
      <c r="O200" s="3" t="str">
        <f>"22.989582"</f>
        <v>22.989582</v>
      </c>
      <c r="P200" s="3" t="s">
        <v>23</v>
      </c>
    </row>
    <row r="201" spans="1:16">
      <c r="A201" s="3" t="s">
        <v>19</v>
      </c>
      <c r="B201" s="3" t="str">
        <f>"9190705"</f>
        <v>9190705</v>
      </c>
      <c r="C201" s="4" t="s">
        <v>522</v>
      </c>
      <c r="D201" s="3" t="s">
        <v>39</v>
      </c>
      <c r="E201" s="3" t="s">
        <v>39</v>
      </c>
      <c r="F201" s="3" t="s">
        <v>40</v>
      </c>
      <c r="G201" s="3">
        <v>1</v>
      </c>
      <c r="H201" s="3">
        <v>2</v>
      </c>
      <c r="I201" s="3" t="s">
        <v>38</v>
      </c>
      <c r="J201" s="3">
        <v>2392072210</v>
      </c>
      <c r="K201" s="4" t="s">
        <v>523</v>
      </c>
      <c r="L201" s="4" t="s">
        <v>524</v>
      </c>
      <c r="M201" s="3">
        <v>57001</v>
      </c>
      <c r="N201" s="3" t="str">
        <f>"40.489738"</f>
        <v>40.489738</v>
      </c>
      <c r="O201" s="3" t="str">
        <f>"23.018976"</f>
        <v>23.018976</v>
      </c>
      <c r="P201" s="3" t="s">
        <v>23</v>
      </c>
    </row>
    <row r="202" spans="1:16">
      <c r="A202" s="3" t="s">
        <v>19</v>
      </c>
      <c r="B202" s="3" t="str">
        <f>"9190755"</f>
        <v>9190755</v>
      </c>
      <c r="C202" s="4" t="s">
        <v>219</v>
      </c>
      <c r="D202" s="3" t="s">
        <v>39</v>
      </c>
      <c r="E202" s="3" t="s">
        <v>217</v>
      </c>
      <c r="F202" s="3" t="s">
        <v>218</v>
      </c>
      <c r="G202" s="3">
        <v>2</v>
      </c>
      <c r="H202" s="3">
        <v>3</v>
      </c>
      <c r="I202" s="3" t="s">
        <v>38</v>
      </c>
      <c r="J202" s="3">
        <v>2392064099</v>
      </c>
      <c r="K202" s="4" t="s">
        <v>220</v>
      </c>
      <c r="L202" s="4" t="s">
        <v>221</v>
      </c>
      <c r="M202" s="3">
        <v>57500</v>
      </c>
      <c r="N202" s="3" t="str">
        <f>"40.423581"</f>
        <v>40.423581</v>
      </c>
      <c r="O202" s="3" t="str">
        <f>"22.957163"</f>
        <v>22.957163</v>
      </c>
      <c r="P202" s="3" t="s">
        <v>23</v>
      </c>
    </row>
    <row r="203" spans="1:16">
      <c r="A203" s="3" t="s">
        <v>19</v>
      </c>
      <c r="B203" s="3" t="str">
        <f>"9190700"</f>
        <v>9190700</v>
      </c>
      <c r="C203" s="4" t="s">
        <v>799</v>
      </c>
      <c r="D203" s="3" t="s">
        <v>39</v>
      </c>
      <c r="E203" s="3" t="s">
        <v>217</v>
      </c>
      <c r="F203" s="3" t="s">
        <v>648</v>
      </c>
      <c r="G203" s="3">
        <v>1</v>
      </c>
      <c r="H203" s="3">
        <v>2</v>
      </c>
      <c r="I203" s="3" t="s">
        <v>38</v>
      </c>
      <c r="J203" s="3">
        <v>2392091404</v>
      </c>
      <c r="K203" s="4" t="s">
        <v>800</v>
      </c>
      <c r="L203" s="4" t="s">
        <v>651</v>
      </c>
      <c r="M203" s="3">
        <v>57500</v>
      </c>
      <c r="N203" s="3" t="str">
        <f>"40.427102"</f>
        <v>40.427102</v>
      </c>
      <c r="O203" s="3" t="str">
        <f>"23.023869"</f>
        <v>23.023869</v>
      </c>
      <c r="P203" s="3" t="s">
        <v>23</v>
      </c>
    </row>
    <row r="204" spans="1:16">
      <c r="A204" s="3" t="s">
        <v>19</v>
      </c>
      <c r="B204" s="3" t="str">
        <f>"9190704"</f>
        <v>9190704</v>
      </c>
      <c r="C204" s="4" t="s">
        <v>568</v>
      </c>
      <c r="D204" s="3" t="s">
        <v>39</v>
      </c>
      <c r="E204" s="3" t="s">
        <v>217</v>
      </c>
      <c r="F204" s="3" t="s">
        <v>567</v>
      </c>
      <c r="G204" s="3">
        <v>3</v>
      </c>
      <c r="H204" s="3">
        <v>3</v>
      </c>
      <c r="I204" s="3" t="s">
        <v>38</v>
      </c>
      <c r="J204" s="3">
        <v>2392064477</v>
      </c>
      <c r="K204" s="4" t="s">
        <v>569</v>
      </c>
      <c r="L204" s="4" t="s">
        <v>570</v>
      </c>
      <c r="M204" s="3">
        <v>57500</v>
      </c>
      <c r="N204" s="3" t="str">
        <f>"40.474518"</f>
        <v>40.474518</v>
      </c>
      <c r="O204" s="3" t="str">
        <f>"22.959863"</f>
        <v>22.959863</v>
      </c>
      <c r="P204" s="3" t="s">
        <v>23</v>
      </c>
    </row>
    <row r="205" spans="1:16">
      <c r="A205" s="3" t="s">
        <v>19</v>
      </c>
      <c r="B205" s="3" t="str">
        <f>"9521320"</f>
        <v>9521320</v>
      </c>
      <c r="C205" s="4" t="s">
        <v>933</v>
      </c>
      <c r="D205" s="3" t="s">
        <v>39</v>
      </c>
      <c r="E205" s="3" t="s">
        <v>217</v>
      </c>
      <c r="F205" s="3" t="s">
        <v>567</v>
      </c>
      <c r="G205" s="3">
        <v>1</v>
      </c>
      <c r="H205" s="3">
        <v>1</v>
      </c>
      <c r="I205" s="3" t="s">
        <v>38</v>
      </c>
      <c r="J205" s="3">
        <v>2392065044</v>
      </c>
      <c r="K205" s="4" t="s">
        <v>934</v>
      </c>
      <c r="L205" s="4" t="s">
        <v>935</v>
      </c>
      <c r="M205" s="3">
        <v>57500</v>
      </c>
      <c r="N205" s="3" t="str">
        <f>"40.471426"</f>
        <v>40.471426</v>
      </c>
      <c r="O205" s="3" t="str">
        <f>"22.955261"</f>
        <v>22.955261</v>
      </c>
      <c r="P205" s="3" t="s">
        <v>23</v>
      </c>
    </row>
    <row r="206" spans="1:16">
      <c r="A206" s="3" t="s">
        <v>19</v>
      </c>
      <c r="B206" s="3" t="str">
        <f>"9190374"</f>
        <v>9190374</v>
      </c>
      <c r="C206" s="4" t="s">
        <v>561</v>
      </c>
      <c r="D206" s="3" t="s">
        <v>39</v>
      </c>
      <c r="E206" s="3" t="s">
        <v>217</v>
      </c>
      <c r="F206" s="3" t="s">
        <v>560</v>
      </c>
      <c r="G206" s="3">
        <v>2</v>
      </c>
      <c r="H206" s="3">
        <v>3</v>
      </c>
      <c r="I206" s="3" t="s">
        <v>38</v>
      </c>
      <c r="J206" s="3">
        <v>2392063503</v>
      </c>
      <c r="K206" s="4" t="s">
        <v>562</v>
      </c>
      <c r="L206" s="4" t="s">
        <v>563</v>
      </c>
      <c r="M206" s="3">
        <v>57500</v>
      </c>
      <c r="N206" s="3" t="str">
        <f>"40.463933"</f>
        <v>40.463933</v>
      </c>
      <c r="O206" s="3" t="str">
        <f>"22.967398"</f>
        <v>22.967398</v>
      </c>
      <c r="P206" s="3" t="s">
        <v>23</v>
      </c>
    </row>
    <row r="207" spans="1:16">
      <c r="A207" s="3" t="s">
        <v>19</v>
      </c>
      <c r="B207" s="3" t="str">
        <f>"9521321"</f>
        <v>9521321</v>
      </c>
      <c r="C207" s="4" t="s">
        <v>896</v>
      </c>
      <c r="D207" s="3" t="s">
        <v>39</v>
      </c>
      <c r="E207" s="3" t="s">
        <v>217</v>
      </c>
      <c r="F207" s="3" t="s">
        <v>560</v>
      </c>
      <c r="G207" s="3">
        <v>2</v>
      </c>
      <c r="H207" s="3">
        <v>2</v>
      </c>
      <c r="I207" s="3" t="s">
        <v>38</v>
      </c>
      <c r="J207" s="3">
        <v>2392062445</v>
      </c>
      <c r="K207" s="4" t="s">
        <v>897</v>
      </c>
      <c r="L207" s="4" t="s">
        <v>880</v>
      </c>
      <c r="M207" s="3">
        <v>57500</v>
      </c>
      <c r="N207" s="3" t="str">
        <f>"40.466887"</f>
        <v>40.466887</v>
      </c>
      <c r="O207" s="3" t="str">
        <f>"22.965072"</f>
        <v>22.965072</v>
      </c>
      <c r="P207" s="3" t="s">
        <v>23</v>
      </c>
    </row>
    <row r="208" spans="1:16">
      <c r="A208" s="3" t="s">
        <v>19</v>
      </c>
      <c r="B208" s="3" t="str">
        <f>"9521560"</f>
        <v>9521560</v>
      </c>
      <c r="C208" s="4" t="s">
        <v>943</v>
      </c>
      <c r="D208" s="3" t="s">
        <v>17</v>
      </c>
      <c r="E208" s="3" t="s">
        <v>17</v>
      </c>
      <c r="F208" s="3" t="s">
        <v>55</v>
      </c>
      <c r="G208" s="3">
        <v>2</v>
      </c>
      <c r="H208" s="3">
        <v>1</v>
      </c>
      <c r="I208" s="3" t="s">
        <v>16</v>
      </c>
      <c r="J208" s="3">
        <v>2310204077</v>
      </c>
      <c r="K208" s="4" t="s">
        <v>944</v>
      </c>
      <c r="L208" s="4" t="s">
        <v>945</v>
      </c>
      <c r="M208" s="3">
        <v>54636</v>
      </c>
      <c r="N208" s="3" t="str">
        <f>"40.628965"</f>
        <v>40.628965</v>
      </c>
      <c r="O208" s="3" t="str">
        <f>"22.961319"</f>
        <v>22.961319</v>
      </c>
      <c r="P208" s="3" t="s">
        <v>23</v>
      </c>
    </row>
    <row r="209" spans="1:16">
      <c r="A209" s="3" t="s">
        <v>19</v>
      </c>
      <c r="B209" s="3" t="str">
        <f>"9190446"</f>
        <v>9190446</v>
      </c>
      <c r="C209" s="4" t="s">
        <v>57</v>
      </c>
      <c r="D209" s="3" t="s">
        <v>17</v>
      </c>
      <c r="E209" s="3" t="s">
        <v>17</v>
      </c>
      <c r="F209" s="3" t="s">
        <v>55</v>
      </c>
      <c r="G209" s="3">
        <v>2</v>
      </c>
      <c r="H209" s="3">
        <v>2</v>
      </c>
      <c r="I209" s="3" t="s">
        <v>16</v>
      </c>
      <c r="J209" s="3">
        <v>2310270307</v>
      </c>
      <c r="K209" s="4" t="s">
        <v>58</v>
      </c>
      <c r="L209" s="4" t="s">
        <v>59</v>
      </c>
      <c r="M209" s="3">
        <v>54621</v>
      </c>
      <c r="N209" s="3" t="str">
        <f>"40.628979"</f>
        <v>40.628979</v>
      </c>
      <c r="O209" s="3" t="str">
        <f>"22.950525"</f>
        <v>22.950525</v>
      </c>
      <c r="P209" s="3" t="s">
        <v>23</v>
      </c>
    </row>
    <row r="210" spans="1:16">
      <c r="A210" s="3" t="s">
        <v>19</v>
      </c>
      <c r="B210" s="3" t="str">
        <f>"9190448"</f>
        <v>9190448</v>
      </c>
      <c r="C210" s="4" t="s">
        <v>66</v>
      </c>
      <c r="D210" s="3" t="s">
        <v>17</v>
      </c>
      <c r="E210" s="3" t="s">
        <v>17</v>
      </c>
      <c r="F210" s="3" t="s">
        <v>55</v>
      </c>
      <c r="G210" s="3">
        <v>3</v>
      </c>
      <c r="H210" s="3">
        <v>3</v>
      </c>
      <c r="I210" s="3" t="s">
        <v>16</v>
      </c>
      <c r="J210" s="3">
        <v>2310272760</v>
      </c>
      <c r="K210" s="4" t="s">
        <v>67</v>
      </c>
      <c r="L210" s="4" t="s">
        <v>68</v>
      </c>
      <c r="M210" s="3">
        <v>54622</v>
      </c>
      <c r="N210" s="3" t="str">
        <f>"40.632033"</f>
        <v>40.632033</v>
      </c>
      <c r="O210" s="3" t="str">
        <f>"22.946293"</f>
        <v>22.946293</v>
      </c>
      <c r="P210" s="3" t="s">
        <v>23</v>
      </c>
    </row>
    <row r="211" spans="1:16">
      <c r="A211" s="3" t="s">
        <v>19</v>
      </c>
      <c r="B211" s="3" t="str">
        <f>"9190084"</f>
        <v>9190084</v>
      </c>
      <c r="C211" s="4" t="s">
        <v>78</v>
      </c>
      <c r="D211" s="3" t="s">
        <v>17</v>
      </c>
      <c r="E211" s="3" t="s">
        <v>17</v>
      </c>
      <c r="F211" s="3" t="s">
        <v>55</v>
      </c>
      <c r="G211" s="3">
        <v>2</v>
      </c>
      <c r="H211" s="3">
        <v>2</v>
      </c>
      <c r="I211" s="3" t="s">
        <v>16</v>
      </c>
      <c r="J211" s="3">
        <v>2310271123</v>
      </c>
      <c r="K211" s="4" t="s">
        <v>79</v>
      </c>
      <c r="L211" s="4" t="s">
        <v>80</v>
      </c>
      <c r="M211" s="3">
        <v>54622</v>
      </c>
      <c r="N211" s="3" t="str">
        <f>"40.630398"</f>
        <v>40.630398</v>
      </c>
      <c r="O211" s="3" t="str">
        <f>"22.943981"</f>
        <v>22.943981</v>
      </c>
      <c r="P211" s="3" t="s">
        <v>23</v>
      </c>
    </row>
    <row r="212" spans="1:16">
      <c r="A212" s="3" t="s">
        <v>19</v>
      </c>
      <c r="B212" s="3" t="str">
        <f>"9190133"</f>
        <v>9190133</v>
      </c>
      <c r="C212" s="4" t="s">
        <v>138</v>
      </c>
      <c r="D212" s="3" t="s">
        <v>17</v>
      </c>
      <c r="E212" s="3" t="s">
        <v>17</v>
      </c>
      <c r="F212" s="3" t="s">
        <v>55</v>
      </c>
      <c r="G212" s="3">
        <v>2</v>
      </c>
      <c r="H212" s="3">
        <v>3</v>
      </c>
      <c r="I212" s="3" t="s">
        <v>16</v>
      </c>
      <c r="J212" s="3">
        <v>2310535553</v>
      </c>
      <c r="K212" s="4" t="s">
        <v>139</v>
      </c>
      <c r="L212" s="4" t="s">
        <v>140</v>
      </c>
      <c r="M212" s="3">
        <v>54630</v>
      </c>
      <c r="N212" s="3" t="str">
        <f>"40.639721"</f>
        <v>40.639721</v>
      </c>
      <c r="O212" s="3" t="str">
        <f>"22.940548"</f>
        <v>22.940548</v>
      </c>
      <c r="P212" s="3" t="s">
        <v>23</v>
      </c>
    </row>
    <row r="213" spans="1:16">
      <c r="A213" s="3" t="s">
        <v>19</v>
      </c>
      <c r="B213" s="3" t="str">
        <f>"9190162"</f>
        <v>9190162</v>
      </c>
      <c r="C213" s="4" t="s">
        <v>196</v>
      </c>
      <c r="D213" s="3" t="s">
        <v>17</v>
      </c>
      <c r="E213" s="3" t="s">
        <v>17</v>
      </c>
      <c r="F213" s="3" t="s">
        <v>55</v>
      </c>
      <c r="G213" s="3">
        <v>2</v>
      </c>
      <c r="H213" s="3">
        <v>2</v>
      </c>
      <c r="I213" s="3" t="s">
        <v>16</v>
      </c>
      <c r="J213" s="3">
        <v>2310265144</v>
      </c>
      <c r="K213" s="4" t="s">
        <v>197</v>
      </c>
      <c r="L213" s="4" t="s">
        <v>198</v>
      </c>
      <c r="M213" s="3">
        <v>54635</v>
      </c>
      <c r="N213" s="3" t="str">
        <f>"40.636319"</f>
        <v>40.636319</v>
      </c>
      <c r="O213" s="3" t="str">
        <f>"22.948627"</f>
        <v>22.948627</v>
      </c>
      <c r="P213" s="3" t="s">
        <v>23</v>
      </c>
    </row>
    <row r="214" spans="1:16">
      <c r="A214" s="3" t="s">
        <v>19</v>
      </c>
      <c r="B214" s="3" t="str">
        <f>"9190461"</f>
        <v>9190461</v>
      </c>
      <c r="C214" s="4" t="s">
        <v>202</v>
      </c>
      <c r="D214" s="3" t="s">
        <v>17</v>
      </c>
      <c r="E214" s="3" t="s">
        <v>17</v>
      </c>
      <c r="F214" s="3" t="s">
        <v>55</v>
      </c>
      <c r="G214" s="3">
        <v>2</v>
      </c>
      <c r="H214" s="3">
        <v>2</v>
      </c>
      <c r="I214" s="3" t="s">
        <v>16</v>
      </c>
      <c r="J214" s="3">
        <v>2311828759</v>
      </c>
      <c r="K214" s="4" t="s">
        <v>203</v>
      </c>
      <c r="L214" s="4" t="s">
        <v>204</v>
      </c>
      <c r="M214" s="3">
        <v>54638</v>
      </c>
      <c r="N214" s="3" t="str">
        <f>"40.636616"</f>
        <v>40.636616</v>
      </c>
      <c r="O214" s="3" t="str">
        <f>"22.951812"</f>
        <v>22.951812</v>
      </c>
      <c r="P214" s="3" t="s">
        <v>23</v>
      </c>
    </row>
    <row r="215" spans="1:16">
      <c r="A215" s="3" t="s">
        <v>19</v>
      </c>
      <c r="B215" s="3" t="str">
        <f>"9190462"</f>
        <v>9190462</v>
      </c>
      <c r="C215" s="4" t="s">
        <v>222</v>
      </c>
      <c r="D215" s="3" t="s">
        <v>17</v>
      </c>
      <c r="E215" s="3" t="s">
        <v>17</v>
      </c>
      <c r="F215" s="3" t="s">
        <v>55</v>
      </c>
      <c r="G215" s="3">
        <v>3</v>
      </c>
      <c r="H215" s="3">
        <v>3</v>
      </c>
      <c r="I215" s="3" t="s">
        <v>16</v>
      </c>
      <c r="J215" s="3">
        <v>2310209595</v>
      </c>
      <c r="K215" s="4" t="s">
        <v>223</v>
      </c>
      <c r="L215" s="4" t="s">
        <v>224</v>
      </c>
      <c r="M215" s="3">
        <v>54636</v>
      </c>
      <c r="N215" s="3" t="str">
        <f>"40.631830"</f>
        <v>40.631830</v>
      </c>
      <c r="O215" s="3" t="str">
        <f>"22.967109"</f>
        <v>22.967109</v>
      </c>
      <c r="P215" s="3" t="s">
        <v>23</v>
      </c>
    </row>
    <row r="216" spans="1:16">
      <c r="A216" s="3" t="s">
        <v>19</v>
      </c>
      <c r="B216" s="3" t="str">
        <f>"9190471"</f>
        <v>9190471</v>
      </c>
      <c r="C216" s="4" t="s">
        <v>866</v>
      </c>
      <c r="D216" s="3" t="s">
        <v>17</v>
      </c>
      <c r="E216" s="3" t="s">
        <v>17</v>
      </c>
      <c r="F216" s="3" t="s">
        <v>55</v>
      </c>
      <c r="G216" s="3">
        <v>2</v>
      </c>
      <c r="H216" s="3">
        <v>2</v>
      </c>
      <c r="I216" s="3" t="s">
        <v>16</v>
      </c>
      <c r="J216" s="3">
        <v>2310248399</v>
      </c>
      <c r="K216" s="4" t="s">
        <v>867</v>
      </c>
      <c r="L216" s="4" t="s">
        <v>868</v>
      </c>
      <c r="M216" s="3">
        <v>54635</v>
      </c>
      <c r="N216" s="3" t="str">
        <f>"40.633598"</f>
        <v>40.633598</v>
      </c>
      <c r="O216" s="3" t="str">
        <f>"22.951165"</f>
        <v>22.951165</v>
      </c>
      <c r="P216" s="3" t="s">
        <v>23</v>
      </c>
    </row>
    <row r="217" spans="1:16">
      <c r="A217" s="3" t="s">
        <v>19</v>
      </c>
      <c r="B217" s="3" t="str">
        <f>"9190472"</f>
        <v>9190472</v>
      </c>
      <c r="C217" s="4" t="s">
        <v>346</v>
      </c>
      <c r="D217" s="3" t="s">
        <v>17</v>
      </c>
      <c r="E217" s="3" t="s">
        <v>17</v>
      </c>
      <c r="F217" s="3" t="s">
        <v>55</v>
      </c>
      <c r="G217" s="3">
        <v>2</v>
      </c>
      <c r="H217" s="3">
        <v>2</v>
      </c>
      <c r="I217" s="3" t="s">
        <v>16</v>
      </c>
      <c r="J217" s="3">
        <v>2310224514</v>
      </c>
      <c r="K217" s="4" t="s">
        <v>347</v>
      </c>
      <c r="L217" s="4" t="s">
        <v>240</v>
      </c>
      <c r="M217" s="3">
        <v>54635</v>
      </c>
      <c r="N217" s="3" t="str">
        <f>"40.636839"</f>
        <v>40.636839</v>
      </c>
      <c r="O217" s="3" t="str">
        <f>"22.949348"</f>
        <v>22.949348</v>
      </c>
      <c r="P217" s="3" t="s">
        <v>23</v>
      </c>
    </row>
    <row r="218" spans="1:16">
      <c r="A218" s="5" t="s">
        <v>19</v>
      </c>
      <c r="B218" s="5" t="str">
        <f>"9521026"</f>
        <v>9521026</v>
      </c>
      <c r="C218" s="6" t="s">
        <v>587</v>
      </c>
      <c r="D218" s="5" t="s">
        <v>17</v>
      </c>
      <c r="E218" s="5" t="s">
        <v>17</v>
      </c>
      <c r="F218" s="5" t="s">
        <v>55</v>
      </c>
      <c r="G218" s="5">
        <v>1</v>
      </c>
      <c r="H218" s="5">
        <v>2</v>
      </c>
      <c r="I218" s="5" t="s">
        <v>16</v>
      </c>
      <c r="J218" s="6" t="s">
        <v>56</v>
      </c>
      <c r="K218" s="6" t="s">
        <v>56</v>
      </c>
      <c r="L218" s="6" t="s">
        <v>937</v>
      </c>
      <c r="M218" s="6" t="s">
        <v>56</v>
      </c>
      <c r="N218" s="6" t="s">
        <v>56</v>
      </c>
      <c r="O218" s="6" t="s">
        <v>56</v>
      </c>
      <c r="P218" s="5" t="s">
        <v>24</v>
      </c>
    </row>
    <row r="219" spans="1:16">
      <c r="A219" s="3" t="s">
        <v>19</v>
      </c>
      <c r="B219" s="3" t="str">
        <f>"9190664"</f>
        <v>9190664</v>
      </c>
      <c r="C219" s="4" t="s">
        <v>419</v>
      </c>
      <c r="D219" s="3" t="s">
        <v>17</v>
      </c>
      <c r="E219" s="3" t="s">
        <v>17</v>
      </c>
      <c r="F219" s="3" t="s">
        <v>55</v>
      </c>
      <c r="G219" s="3">
        <v>1</v>
      </c>
      <c r="H219" s="3">
        <v>1</v>
      </c>
      <c r="I219" s="3" t="s">
        <v>16</v>
      </c>
      <c r="J219" s="3">
        <v>2310267433</v>
      </c>
      <c r="K219" s="4" t="s">
        <v>420</v>
      </c>
      <c r="L219" s="4" t="s">
        <v>421</v>
      </c>
      <c r="M219" s="3">
        <v>54631</v>
      </c>
      <c r="N219" s="3" t="str">
        <f>"40.636227"</f>
        <v>40.636227</v>
      </c>
      <c r="O219" s="3" t="str">
        <f>"22.948101"</f>
        <v>22.948101</v>
      </c>
      <c r="P219" s="3" t="s">
        <v>23</v>
      </c>
    </row>
    <row r="220" spans="1:16">
      <c r="A220" s="3" t="s">
        <v>19</v>
      </c>
      <c r="B220" s="3" t="str">
        <f>"9521027"</f>
        <v>9521027</v>
      </c>
      <c r="C220" s="4" t="s">
        <v>585</v>
      </c>
      <c r="D220" s="3" t="s">
        <v>17</v>
      </c>
      <c r="E220" s="3" t="s">
        <v>17</v>
      </c>
      <c r="F220" s="3" t="s">
        <v>103</v>
      </c>
      <c r="G220" s="3">
        <v>1</v>
      </c>
      <c r="H220" s="3">
        <v>1</v>
      </c>
      <c r="I220" s="3" t="s">
        <v>16</v>
      </c>
      <c r="J220" s="3">
        <v>2316072835</v>
      </c>
      <c r="K220" s="4" t="s">
        <v>586</v>
      </c>
      <c r="L220" s="4" t="s">
        <v>356</v>
      </c>
      <c r="M220" s="3">
        <v>54627</v>
      </c>
      <c r="N220" s="3" t="str">
        <f>"40.646460"</f>
        <v>40.646460</v>
      </c>
      <c r="O220" s="3" t="str">
        <f>"22.918058"</f>
        <v>22.918058</v>
      </c>
      <c r="P220" s="3" t="s">
        <v>23</v>
      </c>
    </row>
    <row r="221" spans="1:16">
      <c r="A221" s="3" t="s">
        <v>19</v>
      </c>
      <c r="B221" s="3" t="str">
        <f>"9190135"</f>
        <v>9190135</v>
      </c>
      <c r="C221" s="4" t="s">
        <v>160</v>
      </c>
      <c r="D221" s="3" t="s">
        <v>17</v>
      </c>
      <c r="E221" s="3" t="s">
        <v>17</v>
      </c>
      <c r="F221" s="3" t="s">
        <v>103</v>
      </c>
      <c r="G221" s="3">
        <v>2</v>
      </c>
      <c r="H221" s="3">
        <v>2</v>
      </c>
      <c r="I221" s="3" t="s">
        <v>16</v>
      </c>
      <c r="J221" s="3">
        <v>2310519781</v>
      </c>
      <c r="K221" s="4" t="s">
        <v>161</v>
      </c>
      <c r="L221" s="4" t="s">
        <v>162</v>
      </c>
      <c r="M221" s="3">
        <v>54629</v>
      </c>
      <c r="N221" s="3" t="str">
        <f>"40.644684"</f>
        <v>40.644684</v>
      </c>
      <c r="O221" s="3" t="str">
        <f>"22.933469"</f>
        <v>22.933469</v>
      </c>
      <c r="P221" s="3" t="s">
        <v>23</v>
      </c>
    </row>
    <row r="222" spans="1:16">
      <c r="A222" s="3" t="s">
        <v>19</v>
      </c>
      <c r="B222" s="3" t="str">
        <f>"9190136"</f>
        <v>9190136</v>
      </c>
      <c r="C222" s="4" t="s">
        <v>163</v>
      </c>
      <c r="D222" s="3" t="s">
        <v>17</v>
      </c>
      <c r="E222" s="3" t="s">
        <v>17</v>
      </c>
      <c r="F222" s="3" t="s">
        <v>103</v>
      </c>
      <c r="G222" s="3">
        <v>1</v>
      </c>
      <c r="H222" s="3">
        <v>2</v>
      </c>
      <c r="I222" s="3" t="s">
        <v>16</v>
      </c>
      <c r="J222" s="3">
        <v>2310517008</v>
      </c>
      <c r="K222" s="4" t="s">
        <v>164</v>
      </c>
      <c r="L222" s="4" t="s">
        <v>165</v>
      </c>
      <c r="M222" s="3">
        <v>54627</v>
      </c>
      <c r="N222" s="3" t="str">
        <f>"40.645118"</f>
        <v>40.645118</v>
      </c>
      <c r="O222" s="3" t="str">
        <f>"22.927395"</f>
        <v>22.927395</v>
      </c>
      <c r="P222" s="3" t="s">
        <v>23</v>
      </c>
    </row>
    <row r="223" spans="1:16">
      <c r="A223" s="3" t="s">
        <v>19</v>
      </c>
      <c r="B223" s="3" t="str">
        <f>"9190490"</f>
        <v>9190490</v>
      </c>
      <c r="C223" s="4" t="s">
        <v>185</v>
      </c>
      <c r="D223" s="3" t="s">
        <v>17</v>
      </c>
      <c r="E223" s="3" t="s">
        <v>17</v>
      </c>
      <c r="F223" s="3" t="s">
        <v>103</v>
      </c>
      <c r="G223" s="3">
        <v>2</v>
      </c>
      <c r="H223" s="3">
        <v>2</v>
      </c>
      <c r="I223" s="3" t="s">
        <v>16</v>
      </c>
      <c r="J223" s="3">
        <v>2316024057</v>
      </c>
      <c r="K223" s="4" t="s">
        <v>186</v>
      </c>
      <c r="L223" s="4" t="s">
        <v>187</v>
      </c>
      <c r="M223" s="3">
        <v>54632</v>
      </c>
      <c r="N223" s="3" t="str">
        <f>"40.645365"</f>
        <v>40.645365</v>
      </c>
      <c r="O223" s="3" t="str">
        <f>"22.939629"</f>
        <v>22.939629</v>
      </c>
      <c r="P223" s="3" t="s">
        <v>23</v>
      </c>
    </row>
    <row r="224" spans="1:16">
      <c r="A224" s="3" t="s">
        <v>19</v>
      </c>
      <c r="B224" s="3" t="str">
        <f>"9190168"</f>
        <v>9190168</v>
      </c>
      <c r="C224" s="4" t="s">
        <v>191</v>
      </c>
      <c r="D224" s="3" t="s">
        <v>17</v>
      </c>
      <c r="E224" s="3" t="s">
        <v>17</v>
      </c>
      <c r="F224" s="3" t="s">
        <v>103</v>
      </c>
      <c r="G224" s="3">
        <v>2</v>
      </c>
      <c r="H224" s="3">
        <v>3</v>
      </c>
      <c r="I224" s="3" t="s">
        <v>16</v>
      </c>
      <c r="J224" s="3">
        <v>2310621221</v>
      </c>
      <c r="K224" s="4" t="s">
        <v>192</v>
      </c>
      <c r="L224" s="4" t="s">
        <v>106</v>
      </c>
      <c r="M224" s="3">
        <v>54632</v>
      </c>
      <c r="N224" s="3" t="str">
        <f>"40.646086"</f>
        <v>40.646086</v>
      </c>
      <c r="O224" s="3" t="str">
        <f>"22.939870"</f>
        <v>22.939870</v>
      </c>
      <c r="P224" s="3" t="s">
        <v>23</v>
      </c>
    </row>
    <row r="225" spans="1:16">
      <c r="A225" s="3" t="s">
        <v>19</v>
      </c>
      <c r="B225" s="3" t="str">
        <f>"9190605"</f>
        <v>9190605</v>
      </c>
      <c r="C225" s="4" t="s">
        <v>348</v>
      </c>
      <c r="D225" s="3" t="s">
        <v>17</v>
      </c>
      <c r="E225" s="3" t="s">
        <v>17</v>
      </c>
      <c r="F225" s="3" t="s">
        <v>103</v>
      </c>
      <c r="G225" s="3">
        <v>2</v>
      </c>
      <c r="H225" s="3">
        <v>3</v>
      </c>
      <c r="I225" s="3" t="s">
        <v>16</v>
      </c>
      <c r="J225" s="3">
        <v>2310538809</v>
      </c>
      <c r="K225" s="4" t="s">
        <v>349</v>
      </c>
      <c r="L225" s="4" t="s">
        <v>350</v>
      </c>
      <c r="M225" s="3">
        <v>54629</v>
      </c>
      <c r="N225" s="3" t="str">
        <f>"40.647149"</f>
        <v>40.647149</v>
      </c>
      <c r="O225" s="3" t="str">
        <f>"22.934520"</f>
        <v>22.934520</v>
      </c>
      <c r="P225" s="3" t="s">
        <v>23</v>
      </c>
    </row>
    <row r="226" spans="1:16">
      <c r="A226" s="3" t="s">
        <v>19</v>
      </c>
      <c r="B226" s="3" t="str">
        <f>"9190688"</f>
        <v>9190688</v>
      </c>
      <c r="C226" s="4" t="s">
        <v>354</v>
      </c>
      <c r="D226" s="3" t="s">
        <v>17</v>
      </c>
      <c r="E226" s="3" t="s">
        <v>17</v>
      </c>
      <c r="F226" s="3" t="s">
        <v>103</v>
      </c>
      <c r="G226" s="3">
        <v>1</v>
      </c>
      <c r="H226" s="3">
        <v>1</v>
      </c>
      <c r="I226" s="3" t="s">
        <v>16</v>
      </c>
      <c r="J226" s="3">
        <v>2310554304</v>
      </c>
      <c r="K226" s="4" t="s">
        <v>355</v>
      </c>
      <c r="L226" s="4" t="s">
        <v>356</v>
      </c>
      <c r="M226" s="3">
        <v>54627</v>
      </c>
      <c r="N226" s="3" t="str">
        <f>"40.646207"</f>
        <v>40.646207</v>
      </c>
      <c r="O226" s="3" t="str">
        <f>"22.918046"</f>
        <v>22.918046</v>
      </c>
      <c r="P226" s="3" t="s">
        <v>23</v>
      </c>
    </row>
    <row r="227" spans="1:16">
      <c r="A227" s="3" t="s">
        <v>19</v>
      </c>
      <c r="B227" s="3" t="str">
        <f>"9190083"</f>
        <v>9190083</v>
      </c>
      <c r="C227" s="4" t="s">
        <v>72</v>
      </c>
      <c r="D227" s="3" t="s">
        <v>17</v>
      </c>
      <c r="E227" s="3" t="s">
        <v>17</v>
      </c>
      <c r="F227" s="3" t="s">
        <v>47</v>
      </c>
      <c r="G227" s="3">
        <v>1</v>
      </c>
      <c r="H227" s="3">
        <v>1</v>
      </c>
      <c r="I227" s="3" t="s">
        <v>16</v>
      </c>
      <c r="J227" s="3">
        <v>2310237386</v>
      </c>
      <c r="K227" s="4" t="s">
        <v>73</v>
      </c>
      <c r="L227" s="4" t="s">
        <v>50</v>
      </c>
      <c r="M227" s="3">
        <v>54633</v>
      </c>
      <c r="N227" s="3" t="str">
        <f>"40.639808"</f>
        <v>40.639808</v>
      </c>
      <c r="O227" s="3" t="str">
        <f>"22.947033"</f>
        <v>22.947033</v>
      </c>
      <c r="P227" s="3" t="s">
        <v>23</v>
      </c>
    </row>
    <row r="228" spans="1:16">
      <c r="A228" s="3" t="s">
        <v>19</v>
      </c>
      <c r="B228" s="3" t="str">
        <f>"9190451"</f>
        <v>9190451</v>
      </c>
      <c r="C228" s="4" t="s">
        <v>81</v>
      </c>
      <c r="D228" s="3" t="s">
        <v>17</v>
      </c>
      <c r="E228" s="3" t="s">
        <v>17</v>
      </c>
      <c r="F228" s="3" t="s">
        <v>47</v>
      </c>
      <c r="G228" s="3">
        <v>2</v>
      </c>
      <c r="H228" s="3">
        <v>2</v>
      </c>
      <c r="I228" s="3" t="s">
        <v>16</v>
      </c>
      <c r="J228" s="3">
        <v>2310271637</v>
      </c>
      <c r="K228" s="4" t="s">
        <v>82</v>
      </c>
      <c r="L228" s="4" t="s">
        <v>83</v>
      </c>
      <c r="M228" s="3">
        <v>54633</v>
      </c>
      <c r="N228" s="3" t="str">
        <f>"40.641889"</f>
        <v>40.641889</v>
      </c>
      <c r="O228" s="3" t="str">
        <f>"22.945963"</f>
        <v>22.945963</v>
      </c>
      <c r="P228" s="3" t="s">
        <v>23</v>
      </c>
    </row>
    <row r="229" spans="1:16">
      <c r="A229" s="3" t="s">
        <v>19</v>
      </c>
      <c r="B229" s="3" t="str">
        <f>"9190467"</f>
        <v>9190467</v>
      </c>
      <c r="C229" s="4" t="s">
        <v>334</v>
      </c>
      <c r="D229" s="3" t="s">
        <v>17</v>
      </c>
      <c r="E229" s="3" t="s">
        <v>17</v>
      </c>
      <c r="F229" s="3" t="s">
        <v>47</v>
      </c>
      <c r="G229" s="3">
        <v>2</v>
      </c>
      <c r="H229" s="3">
        <v>2</v>
      </c>
      <c r="I229" s="3" t="s">
        <v>16</v>
      </c>
      <c r="J229" s="3">
        <v>2310201800</v>
      </c>
      <c r="K229" s="4" t="s">
        <v>335</v>
      </c>
      <c r="L229" s="4" t="s">
        <v>336</v>
      </c>
      <c r="M229" s="3">
        <v>54634</v>
      </c>
      <c r="N229" s="3" t="str">
        <f>"40.641942"</f>
        <v>40.641942</v>
      </c>
      <c r="O229" s="3" t="str">
        <f>"22.959791"</f>
        <v>22.959791</v>
      </c>
      <c r="P229" s="3" t="s">
        <v>23</v>
      </c>
    </row>
    <row r="230" spans="1:16">
      <c r="A230" s="3" t="s">
        <v>19</v>
      </c>
      <c r="B230" s="3" t="str">
        <f>"9190469"</f>
        <v>9190469</v>
      </c>
      <c r="C230" s="4" t="s">
        <v>337</v>
      </c>
      <c r="D230" s="3" t="s">
        <v>17</v>
      </c>
      <c r="E230" s="3" t="s">
        <v>17</v>
      </c>
      <c r="F230" s="3" t="s">
        <v>47</v>
      </c>
      <c r="G230" s="3">
        <v>2</v>
      </c>
      <c r="H230" s="3">
        <v>3</v>
      </c>
      <c r="I230" s="3" t="s">
        <v>16</v>
      </c>
      <c r="J230" s="3">
        <v>2310206707</v>
      </c>
      <c r="K230" s="4" t="s">
        <v>338</v>
      </c>
      <c r="L230" s="4" t="s">
        <v>339</v>
      </c>
      <c r="M230" s="3">
        <v>54634</v>
      </c>
      <c r="N230" s="3" t="str">
        <f>"40.638660"</f>
        <v>40.638660</v>
      </c>
      <c r="O230" s="3" t="str">
        <f>"22.952085"</f>
        <v>22.952085</v>
      </c>
      <c r="P230" s="3" t="s">
        <v>23</v>
      </c>
    </row>
    <row r="231" spans="1:16">
      <c r="A231" s="3" t="s">
        <v>19</v>
      </c>
      <c r="B231" s="3" t="str">
        <f>"9190745"</f>
        <v>9190745</v>
      </c>
      <c r="C231" s="4" t="s">
        <v>437</v>
      </c>
      <c r="D231" s="3" t="s">
        <v>17</v>
      </c>
      <c r="E231" s="3" t="s">
        <v>17</v>
      </c>
      <c r="F231" s="3" t="s">
        <v>51</v>
      </c>
      <c r="G231" s="3">
        <v>2</v>
      </c>
      <c r="H231" s="3">
        <v>2</v>
      </c>
      <c r="I231" s="3" t="s">
        <v>16</v>
      </c>
      <c r="J231" s="3">
        <v>2310939344</v>
      </c>
      <c r="K231" s="4" t="s">
        <v>438</v>
      </c>
      <c r="L231" s="4" t="s">
        <v>439</v>
      </c>
      <c r="M231" s="3">
        <v>54453</v>
      </c>
      <c r="N231" s="3" t="str">
        <f>"40.605645"</f>
        <v>40.605645</v>
      </c>
      <c r="O231" s="3" t="str">
        <f>"22.972974"</f>
        <v>22.972974</v>
      </c>
      <c r="P231" s="3" t="s">
        <v>23</v>
      </c>
    </row>
    <row r="232" spans="1:16">
      <c r="A232" s="3" t="s">
        <v>19</v>
      </c>
      <c r="B232" s="3" t="str">
        <f>"9190808"</f>
        <v>9190808</v>
      </c>
      <c r="C232" s="4" t="s">
        <v>442</v>
      </c>
      <c r="D232" s="3" t="s">
        <v>17</v>
      </c>
      <c r="E232" s="3" t="s">
        <v>17</v>
      </c>
      <c r="F232" s="3" t="s">
        <v>51</v>
      </c>
      <c r="G232" s="3">
        <v>2</v>
      </c>
      <c r="H232" s="3">
        <v>2</v>
      </c>
      <c r="I232" s="3" t="s">
        <v>16</v>
      </c>
      <c r="J232" s="3">
        <v>2310901077</v>
      </c>
      <c r="K232" s="4" t="s">
        <v>443</v>
      </c>
      <c r="L232" s="4" t="s">
        <v>444</v>
      </c>
      <c r="M232" s="3">
        <v>54352</v>
      </c>
      <c r="N232" s="3" t="str">
        <f>"40.609908"</f>
        <v>40.609908</v>
      </c>
      <c r="O232" s="3" t="str">
        <f>"22.981906"</f>
        <v>22.981906</v>
      </c>
      <c r="P232" s="3" t="s">
        <v>23</v>
      </c>
    </row>
    <row r="233" spans="1:16">
      <c r="A233" s="3" t="s">
        <v>19</v>
      </c>
      <c r="B233" s="3" t="str">
        <f>"9190809"</f>
        <v>9190809</v>
      </c>
      <c r="C233" s="4" t="s">
        <v>445</v>
      </c>
      <c r="D233" s="3" t="s">
        <v>17</v>
      </c>
      <c r="E233" s="3" t="s">
        <v>17</v>
      </c>
      <c r="F233" s="3" t="s">
        <v>51</v>
      </c>
      <c r="G233" s="3">
        <v>2</v>
      </c>
      <c r="H233" s="3">
        <v>2</v>
      </c>
      <c r="I233" s="3" t="s">
        <v>16</v>
      </c>
      <c r="J233" s="3">
        <v>2310933555</v>
      </c>
      <c r="K233" s="4" t="s">
        <v>446</v>
      </c>
      <c r="L233" s="4" t="s">
        <v>234</v>
      </c>
      <c r="M233" s="3">
        <v>54352</v>
      </c>
      <c r="N233" s="3" t="str">
        <f>"40.611407"</f>
        <v>40.611407</v>
      </c>
      <c r="O233" s="3" t="str">
        <f>"22.987387"</f>
        <v>22.987387</v>
      </c>
      <c r="P233" s="3" t="s">
        <v>23</v>
      </c>
    </row>
    <row r="234" spans="1:16">
      <c r="A234" s="3" t="s">
        <v>19</v>
      </c>
      <c r="B234" s="3" t="str">
        <f>"9190439"</f>
        <v>9190439</v>
      </c>
      <c r="C234" s="4" t="s">
        <v>279</v>
      </c>
      <c r="D234" s="3" t="s">
        <v>17</v>
      </c>
      <c r="E234" s="3" t="s">
        <v>17</v>
      </c>
      <c r="F234" s="3" t="s">
        <v>51</v>
      </c>
      <c r="G234" s="3">
        <v>4</v>
      </c>
      <c r="H234" s="3">
        <v>4</v>
      </c>
      <c r="I234" s="3" t="s">
        <v>16</v>
      </c>
      <c r="J234" s="3">
        <v>2310927756</v>
      </c>
      <c r="K234" s="4" t="s">
        <v>280</v>
      </c>
      <c r="L234" s="4" t="s">
        <v>281</v>
      </c>
      <c r="M234" s="3">
        <v>54453</v>
      </c>
      <c r="N234" s="3" t="str">
        <f>"40.610643"</f>
        <v>40.610643</v>
      </c>
      <c r="O234" s="3" t="str">
        <f>"22.966397"</f>
        <v>22.966397</v>
      </c>
      <c r="P234" s="3" t="s">
        <v>23</v>
      </c>
    </row>
    <row r="235" spans="1:16">
      <c r="A235" s="3" t="s">
        <v>19</v>
      </c>
      <c r="B235" s="3" t="str">
        <f>"9190440"</f>
        <v>9190440</v>
      </c>
      <c r="C235" s="4" t="s">
        <v>285</v>
      </c>
      <c r="D235" s="3" t="s">
        <v>17</v>
      </c>
      <c r="E235" s="3" t="s">
        <v>17</v>
      </c>
      <c r="F235" s="3" t="s">
        <v>51</v>
      </c>
      <c r="G235" s="3">
        <v>4</v>
      </c>
      <c r="H235" s="3">
        <v>4</v>
      </c>
      <c r="I235" s="3" t="s">
        <v>16</v>
      </c>
      <c r="J235" s="3">
        <v>2310929904</v>
      </c>
      <c r="K235" s="4" t="s">
        <v>286</v>
      </c>
      <c r="L235" s="4" t="s">
        <v>287</v>
      </c>
      <c r="M235" s="3">
        <v>54453</v>
      </c>
      <c r="N235" s="3" t="str">
        <f>"40.615341"</f>
        <v>40.615341</v>
      </c>
      <c r="O235" s="3" t="str">
        <f>"22.968652"</f>
        <v>22.968652</v>
      </c>
      <c r="P235" s="3" t="s">
        <v>23</v>
      </c>
    </row>
    <row r="236" spans="1:16">
      <c r="A236" s="3" t="s">
        <v>19</v>
      </c>
      <c r="B236" s="3" t="str">
        <f>"9190441"</f>
        <v>9190441</v>
      </c>
      <c r="C236" s="4" t="s">
        <v>288</v>
      </c>
      <c r="D236" s="3" t="s">
        <v>17</v>
      </c>
      <c r="E236" s="3" t="s">
        <v>17</v>
      </c>
      <c r="F236" s="3" t="s">
        <v>51</v>
      </c>
      <c r="G236" s="3">
        <v>2</v>
      </c>
      <c r="H236" s="3">
        <v>3</v>
      </c>
      <c r="I236" s="3" t="s">
        <v>16</v>
      </c>
      <c r="J236" s="3">
        <v>2310810637</v>
      </c>
      <c r="K236" s="4" t="s">
        <v>289</v>
      </c>
      <c r="L236" s="4" t="s">
        <v>290</v>
      </c>
      <c r="M236" s="3">
        <v>54639</v>
      </c>
      <c r="N236" s="3" t="str">
        <f>"40.620927"</f>
        <v>40.620927</v>
      </c>
      <c r="O236" s="3" t="str">
        <f>"22.958758"</f>
        <v>22.958758</v>
      </c>
      <c r="P236" s="3" t="s">
        <v>23</v>
      </c>
    </row>
    <row r="237" spans="1:16">
      <c r="A237" s="3" t="s">
        <v>19</v>
      </c>
      <c r="B237" s="3" t="str">
        <f>"9190442"</f>
        <v>9190442</v>
      </c>
      <c r="C237" s="4" t="s">
        <v>291</v>
      </c>
      <c r="D237" s="3" t="s">
        <v>17</v>
      </c>
      <c r="E237" s="3" t="s">
        <v>17</v>
      </c>
      <c r="F237" s="3" t="s">
        <v>51</v>
      </c>
      <c r="G237" s="3">
        <v>2</v>
      </c>
      <c r="H237" s="3">
        <v>3</v>
      </c>
      <c r="I237" s="3" t="s">
        <v>16</v>
      </c>
      <c r="J237" s="3">
        <v>2310927336</v>
      </c>
      <c r="K237" s="4" t="s">
        <v>292</v>
      </c>
      <c r="L237" s="4" t="s">
        <v>293</v>
      </c>
      <c r="M237" s="3">
        <v>54638</v>
      </c>
      <c r="N237" s="3" t="str">
        <f>"40.620520"</f>
        <v>40.620520</v>
      </c>
      <c r="O237" s="3" t="str">
        <f>"22.966896"</f>
        <v>22.966896</v>
      </c>
      <c r="P237" s="3" t="s">
        <v>23</v>
      </c>
    </row>
    <row r="238" spans="1:16">
      <c r="A238" s="3" t="s">
        <v>19</v>
      </c>
      <c r="B238" s="3" t="str">
        <f>"9190443"</f>
        <v>9190443</v>
      </c>
      <c r="C238" s="4" t="s">
        <v>294</v>
      </c>
      <c r="D238" s="3" t="s">
        <v>17</v>
      </c>
      <c r="E238" s="3" t="s">
        <v>17</v>
      </c>
      <c r="F238" s="3" t="s">
        <v>51</v>
      </c>
      <c r="G238" s="3">
        <v>3</v>
      </c>
      <c r="H238" s="3">
        <v>3</v>
      </c>
      <c r="I238" s="3" t="s">
        <v>16</v>
      </c>
      <c r="J238" s="3">
        <v>2310911234</v>
      </c>
      <c r="K238" s="4" t="s">
        <v>295</v>
      </c>
      <c r="L238" s="4" t="s">
        <v>268</v>
      </c>
      <c r="M238" s="3">
        <v>54352</v>
      </c>
      <c r="N238" s="3" t="str">
        <f>"40.615841"</f>
        <v>40.615841</v>
      </c>
      <c r="O238" s="3" t="str">
        <f>"22.980408"</f>
        <v>22.980408</v>
      </c>
      <c r="P238" s="3" t="s">
        <v>23</v>
      </c>
    </row>
    <row r="239" spans="1:16">
      <c r="A239" s="3" t="s">
        <v>19</v>
      </c>
      <c r="B239" s="3" t="str">
        <f>"9520973"</f>
        <v>9520973</v>
      </c>
      <c r="C239" s="4" t="s">
        <v>627</v>
      </c>
      <c r="D239" s="3" t="s">
        <v>17</v>
      </c>
      <c r="E239" s="3" t="s">
        <v>17</v>
      </c>
      <c r="F239" s="3" t="s">
        <v>51</v>
      </c>
      <c r="G239" s="3">
        <v>1</v>
      </c>
      <c r="H239" s="3">
        <v>2</v>
      </c>
      <c r="I239" s="3" t="s">
        <v>16</v>
      </c>
      <c r="J239" s="3">
        <v>2310909579</v>
      </c>
      <c r="K239" s="4" t="s">
        <v>628</v>
      </c>
      <c r="L239" s="4" t="s">
        <v>629</v>
      </c>
      <c r="M239" s="3">
        <v>54453</v>
      </c>
      <c r="N239" s="3" t="str">
        <f>"40.605916"</f>
        <v>40.605916</v>
      </c>
      <c r="O239" s="3" t="str">
        <f>"22.969526"</f>
        <v>22.969526</v>
      </c>
      <c r="P239" s="3" t="s">
        <v>23</v>
      </c>
    </row>
    <row r="240" spans="1:16">
      <c r="A240" s="3" t="s">
        <v>19</v>
      </c>
      <c r="B240" s="3" t="str">
        <f>"9190340"</f>
        <v>9190340</v>
      </c>
      <c r="C240" s="4" t="s">
        <v>296</v>
      </c>
      <c r="D240" s="3" t="s">
        <v>17</v>
      </c>
      <c r="E240" s="3" t="s">
        <v>17</v>
      </c>
      <c r="F240" s="3" t="s">
        <v>51</v>
      </c>
      <c r="G240" s="3">
        <v>3</v>
      </c>
      <c r="H240" s="3">
        <v>3</v>
      </c>
      <c r="I240" s="3" t="s">
        <v>16</v>
      </c>
      <c r="J240" s="3">
        <v>2310926464</v>
      </c>
      <c r="K240" s="4" t="s">
        <v>297</v>
      </c>
      <c r="L240" s="4" t="s">
        <v>298</v>
      </c>
      <c r="M240" s="3">
        <v>54351</v>
      </c>
      <c r="N240" s="3" t="str">
        <f>"40.620147"</f>
        <v>40.620147</v>
      </c>
      <c r="O240" s="3" t="str">
        <f>"22.977154"</f>
        <v>22.977154</v>
      </c>
      <c r="P240" s="3" t="s">
        <v>23</v>
      </c>
    </row>
    <row r="241" spans="1:16">
      <c r="A241" s="3" t="s">
        <v>19</v>
      </c>
      <c r="B241" s="3" t="str">
        <f>"9190161"</f>
        <v>9190161</v>
      </c>
      <c r="C241" s="4" t="s">
        <v>299</v>
      </c>
      <c r="D241" s="3" t="s">
        <v>17</v>
      </c>
      <c r="E241" s="3" t="s">
        <v>17</v>
      </c>
      <c r="F241" s="3" t="s">
        <v>51</v>
      </c>
      <c r="G241" s="3">
        <v>1</v>
      </c>
      <c r="H241" s="3">
        <v>1</v>
      </c>
      <c r="I241" s="3" t="s">
        <v>16</v>
      </c>
      <c r="J241" s="3">
        <v>2310951313</v>
      </c>
      <c r="K241" s="4" t="s">
        <v>300</v>
      </c>
      <c r="L241" s="4" t="s">
        <v>301</v>
      </c>
      <c r="M241" s="3">
        <v>54351</v>
      </c>
      <c r="N241" s="3" t="str">
        <f>"40.613930"</f>
        <v>40.613930</v>
      </c>
      <c r="O241" s="3" t="str">
        <f>"22.978913"</f>
        <v>22.978913</v>
      </c>
      <c r="P241" s="3" t="s">
        <v>23</v>
      </c>
    </row>
    <row r="242" spans="1:16">
      <c r="A242" s="3" t="s">
        <v>19</v>
      </c>
      <c r="B242" s="3" t="str">
        <f>"9190463"</f>
        <v>9190463</v>
      </c>
      <c r="C242" s="4" t="s">
        <v>305</v>
      </c>
      <c r="D242" s="3" t="s">
        <v>17</v>
      </c>
      <c r="E242" s="3" t="s">
        <v>17</v>
      </c>
      <c r="F242" s="3" t="s">
        <v>51</v>
      </c>
      <c r="G242" s="3">
        <v>2</v>
      </c>
      <c r="H242" s="3">
        <v>2</v>
      </c>
      <c r="I242" s="3" t="s">
        <v>16</v>
      </c>
      <c r="J242" s="3">
        <v>2310919914</v>
      </c>
      <c r="K242" s="4" t="s">
        <v>306</v>
      </c>
      <c r="L242" s="4" t="s">
        <v>307</v>
      </c>
      <c r="M242" s="3">
        <v>54351</v>
      </c>
      <c r="N242" s="3" t="str">
        <f>"40.618346"</f>
        <v>40.618346</v>
      </c>
      <c r="O242" s="3" t="str">
        <f>"22.980198"</f>
        <v>22.980198</v>
      </c>
      <c r="P242" s="3" t="s">
        <v>23</v>
      </c>
    </row>
    <row r="243" spans="1:16">
      <c r="A243" s="3" t="s">
        <v>19</v>
      </c>
      <c r="B243" s="3" t="str">
        <f>"9190464"</f>
        <v>9190464</v>
      </c>
      <c r="C243" s="4" t="s">
        <v>308</v>
      </c>
      <c r="D243" s="3" t="s">
        <v>17</v>
      </c>
      <c r="E243" s="3" t="s">
        <v>17</v>
      </c>
      <c r="F243" s="3" t="s">
        <v>51</v>
      </c>
      <c r="G243" s="3">
        <v>6</v>
      </c>
      <c r="H243" s="3">
        <v>7</v>
      </c>
      <c r="I243" s="3" t="s">
        <v>16</v>
      </c>
      <c r="J243" s="3">
        <v>2310919487</v>
      </c>
      <c r="K243" s="4" t="s">
        <v>309</v>
      </c>
      <c r="L243" s="4" t="s">
        <v>310</v>
      </c>
      <c r="M243" s="3">
        <v>54454</v>
      </c>
      <c r="N243" s="3" t="str">
        <f>"40.611490"</f>
        <v>40.611490</v>
      </c>
      <c r="O243" s="3" t="str">
        <f>"22.978412"</f>
        <v>22.978412</v>
      </c>
      <c r="P243" s="3" t="s">
        <v>23</v>
      </c>
    </row>
    <row r="244" spans="1:16">
      <c r="A244" s="3" t="s">
        <v>19</v>
      </c>
      <c r="B244" s="3" t="str">
        <f>"9190673"</f>
        <v>9190673</v>
      </c>
      <c r="C244" s="4" t="s">
        <v>314</v>
      </c>
      <c r="D244" s="3" t="s">
        <v>17</v>
      </c>
      <c r="E244" s="3" t="s">
        <v>17</v>
      </c>
      <c r="F244" s="3" t="s">
        <v>51</v>
      </c>
      <c r="G244" s="3">
        <v>3</v>
      </c>
      <c r="H244" s="3">
        <v>3</v>
      </c>
      <c r="I244" s="3" t="s">
        <v>16</v>
      </c>
      <c r="J244" s="3">
        <v>2310920844</v>
      </c>
      <c r="K244" s="4" t="s">
        <v>315</v>
      </c>
      <c r="L244" s="4" t="s">
        <v>316</v>
      </c>
      <c r="M244" s="3">
        <v>54454</v>
      </c>
      <c r="N244" s="3" t="str">
        <f>"40.608683"</f>
        <v>40.608683</v>
      </c>
      <c r="O244" s="3" t="str">
        <f>"22.975261"</f>
        <v>22.975261</v>
      </c>
      <c r="P244" s="3" t="s">
        <v>23</v>
      </c>
    </row>
    <row r="245" spans="1:16">
      <c r="A245" s="3" t="s">
        <v>19</v>
      </c>
      <c r="B245" s="3" t="str">
        <f>"9190579"</f>
        <v>9190579</v>
      </c>
      <c r="C245" s="4" t="s">
        <v>317</v>
      </c>
      <c r="D245" s="3" t="s">
        <v>17</v>
      </c>
      <c r="E245" s="3" t="s">
        <v>17</v>
      </c>
      <c r="F245" s="3" t="s">
        <v>51</v>
      </c>
      <c r="G245" s="3">
        <v>3</v>
      </c>
      <c r="H245" s="3">
        <v>3</v>
      </c>
      <c r="I245" s="3" t="s">
        <v>16</v>
      </c>
      <c r="J245" s="3">
        <v>2310928864</v>
      </c>
      <c r="K245" s="4" t="s">
        <v>318</v>
      </c>
      <c r="L245" s="4" t="s">
        <v>319</v>
      </c>
      <c r="M245" s="3">
        <v>54454</v>
      </c>
      <c r="N245" s="3" t="str">
        <f>"40.610606"</f>
        <v>40.610606</v>
      </c>
      <c r="O245" s="3" t="str">
        <f>"22.972164"</f>
        <v>22.972164</v>
      </c>
      <c r="P245" s="3" t="s">
        <v>23</v>
      </c>
    </row>
    <row r="246" spans="1:16">
      <c r="A246" s="3" t="s">
        <v>19</v>
      </c>
      <c r="B246" s="3" t="str">
        <f>"9190583"</f>
        <v>9190583</v>
      </c>
      <c r="C246" s="4" t="s">
        <v>427</v>
      </c>
      <c r="D246" s="3" t="s">
        <v>17</v>
      </c>
      <c r="E246" s="3" t="s">
        <v>17</v>
      </c>
      <c r="F246" s="3" t="s">
        <v>51</v>
      </c>
      <c r="G246" s="3">
        <v>1</v>
      </c>
      <c r="H246" s="3">
        <v>2</v>
      </c>
      <c r="I246" s="3" t="s">
        <v>16</v>
      </c>
      <c r="J246" s="3">
        <v>2310810637</v>
      </c>
      <c r="K246" s="4" t="s">
        <v>428</v>
      </c>
      <c r="L246" s="4" t="s">
        <v>290</v>
      </c>
      <c r="M246" s="3">
        <v>54639</v>
      </c>
      <c r="N246" s="3" t="str">
        <f>"40.620927"</f>
        <v>40.620927</v>
      </c>
      <c r="O246" s="3" t="str">
        <f>"22.958758"</f>
        <v>22.958758</v>
      </c>
      <c r="P246" s="3" t="s">
        <v>23</v>
      </c>
    </row>
    <row r="247" spans="1:16">
      <c r="A247" s="3" t="s">
        <v>19</v>
      </c>
      <c r="B247" s="3" t="str">
        <f>"9190676"</f>
        <v>9190676</v>
      </c>
      <c r="C247" s="4" t="s">
        <v>429</v>
      </c>
      <c r="D247" s="3" t="s">
        <v>17</v>
      </c>
      <c r="E247" s="3" t="s">
        <v>17</v>
      </c>
      <c r="F247" s="3" t="s">
        <v>51</v>
      </c>
      <c r="G247" s="3">
        <v>2</v>
      </c>
      <c r="H247" s="3">
        <v>2</v>
      </c>
      <c r="I247" s="3" t="s">
        <v>16</v>
      </c>
      <c r="J247" s="3">
        <v>2310914612</v>
      </c>
      <c r="K247" s="4" t="s">
        <v>430</v>
      </c>
      <c r="L247" s="4" t="s">
        <v>431</v>
      </c>
      <c r="M247" s="3">
        <v>54351</v>
      </c>
      <c r="N247" s="3" t="str">
        <f>"40.616670"</f>
        <v>40.616670</v>
      </c>
      <c r="O247" s="3" t="str">
        <f>"22.976866"</f>
        <v>22.976866</v>
      </c>
      <c r="P247" s="3" t="s">
        <v>23</v>
      </c>
    </row>
    <row r="248" spans="1:16">
      <c r="A248" s="3" t="s">
        <v>19</v>
      </c>
      <c r="B248" s="3" t="str">
        <f>"9190735"</f>
        <v>9190735</v>
      </c>
      <c r="C248" s="4" t="s">
        <v>435</v>
      </c>
      <c r="D248" s="3" t="s">
        <v>17</v>
      </c>
      <c r="E248" s="3" t="s">
        <v>17</v>
      </c>
      <c r="F248" s="3" t="s">
        <v>51</v>
      </c>
      <c r="G248" s="3">
        <v>4</v>
      </c>
      <c r="H248" s="3">
        <v>4</v>
      </c>
      <c r="I248" s="3" t="s">
        <v>16</v>
      </c>
      <c r="J248" s="3">
        <v>2310949713</v>
      </c>
      <c r="K248" s="4" t="s">
        <v>436</v>
      </c>
      <c r="L248" s="4" t="s">
        <v>89</v>
      </c>
      <c r="M248" s="3">
        <v>54454</v>
      </c>
      <c r="N248" s="3" t="str">
        <f>"40.604797"</f>
        <v>40.604797</v>
      </c>
      <c r="O248" s="3" t="str">
        <f>"22.977079"</f>
        <v>22.977079</v>
      </c>
      <c r="P248" s="3" t="s">
        <v>23</v>
      </c>
    </row>
    <row r="249" spans="1:16">
      <c r="A249" s="3" t="s">
        <v>19</v>
      </c>
      <c r="B249" s="3" t="str">
        <f>"9190742"</f>
        <v>9190742</v>
      </c>
      <c r="C249" s="4" t="s">
        <v>754</v>
      </c>
      <c r="D249" s="3" t="s">
        <v>17</v>
      </c>
      <c r="E249" s="3" t="s">
        <v>17</v>
      </c>
      <c r="F249" s="3" t="s">
        <v>90</v>
      </c>
      <c r="G249" s="3">
        <v>3</v>
      </c>
      <c r="H249" s="3">
        <v>4</v>
      </c>
      <c r="I249" s="3" t="s">
        <v>16</v>
      </c>
      <c r="J249" s="3">
        <v>2316015963</v>
      </c>
      <c r="K249" s="4" t="s">
        <v>755</v>
      </c>
      <c r="L249" s="4" t="s">
        <v>756</v>
      </c>
      <c r="M249" s="3">
        <v>54655</v>
      </c>
      <c r="N249" s="3" t="str">
        <f>"40.594669"</f>
        <v>40.594669</v>
      </c>
      <c r="O249" s="3" t="str">
        <f>"22.957763"</f>
        <v>22.957763</v>
      </c>
      <c r="P249" s="3" t="s">
        <v>23</v>
      </c>
    </row>
    <row r="250" spans="1:16">
      <c r="A250" s="3" t="s">
        <v>19</v>
      </c>
      <c r="B250" s="3" t="str">
        <f>"9190766"</f>
        <v>9190766</v>
      </c>
      <c r="C250" s="4" t="s">
        <v>699</v>
      </c>
      <c r="D250" s="3" t="s">
        <v>17</v>
      </c>
      <c r="E250" s="3" t="s">
        <v>17</v>
      </c>
      <c r="F250" s="3" t="s">
        <v>90</v>
      </c>
      <c r="G250" s="3">
        <v>3</v>
      </c>
      <c r="H250" s="3">
        <v>3</v>
      </c>
      <c r="I250" s="3" t="s">
        <v>16</v>
      </c>
      <c r="J250" s="3">
        <v>2310846234</v>
      </c>
      <c r="K250" s="4" t="s">
        <v>700</v>
      </c>
      <c r="L250" s="4" t="s">
        <v>701</v>
      </c>
      <c r="M250" s="3">
        <v>54643</v>
      </c>
      <c r="N250" s="3" t="str">
        <f>"40.607070"</f>
        <v>40.607070</v>
      </c>
      <c r="O250" s="3" t="str">
        <f>"22.952672"</f>
        <v>22.952672</v>
      </c>
      <c r="P250" s="3" t="s">
        <v>23</v>
      </c>
    </row>
    <row r="251" spans="1:16">
      <c r="A251" s="3" t="s">
        <v>19</v>
      </c>
      <c r="B251" s="3" t="str">
        <f>"9190053"</f>
        <v>9190053</v>
      </c>
      <c r="C251" s="4" t="s">
        <v>624</v>
      </c>
      <c r="D251" s="3" t="s">
        <v>17</v>
      </c>
      <c r="E251" s="3" t="s">
        <v>17</v>
      </c>
      <c r="F251" s="3" t="s">
        <v>90</v>
      </c>
      <c r="G251" s="3">
        <v>2</v>
      </c>
      <c r="H251" s="3">
        <v>2</v>
      </c>
      <c r="I251" s="3" t="s">
        <v>16</v>
      </c>
      <c r="J251" s="3">
        <v>2310918706</v>
      </c>
      <c r="K251" s="4" t="s">
        <v>625</v>
      </c>
      <c r="L251" s="4" t="s">
        <v>626</v>
      </c>
      <c r="M251" s="3">
        <v>54644</v>
      </c>
      <c r="N251" s="3" t="str">
        <f>"40.607817"</f>
        <v>40.607817</v>
      </c>
      <c r="O251" s="3" t="str">
        <f>"22.964449"</f>
        <v>22.964449</v>
      </c>
      <c r="P251" s="3" t="s">
        <v>23</v>
      </c>
    </row>
    <row r="252" spans="1:16">
      <c r="A252" s="3" t="s">
        <v>19</v>
      </c>
      <c r="B252" s="3" t="str">
        <f>"9190434"</f>
        <v>9190434</v>
      </c>
      <c r="C252" s="4" t="s">
        <v>727</v>
      </c>
      <c r="D252" s="3" t="s">
        <v>17</v>
      </c>
      <c r="E252" s="3" t="s">
        <v>17</v>
      </c>
      <c r="F252" s="3" t="s">
        <v>90</v>
      </c>
      <c r="G252" s="3">
        <v>3</v>
      </c>
      <c r="H252" s="3">
        <v>4</v>
      </c>
      <c r="I252" s="3" t="s">
        <v>16</v>
      </c>
      <c r="J252" s="3">
        <v>2316017970</v>
      </c>
      <c r="K252" s="4" t="s">
        <v>728</v>
      </c>
      <c r="L252" s="4" t="s">
        <v>729</v>
      </c>
      <c r="M252" s="3">
        <v>54640</v>
      </c>
      <c r="N252" s="3" t="str">
        <f>"40.618763"</f>
        <v>40.618763</v>
      </c>
      <c r="O252" s="3" t="str">
        <f>"22.957360"</f>
        <v>22.957360</v>
      </c>
      <c r="P252" s="3" t="s">
        <v>23</v>
      </c>
    </row>
    <row r="253" spans="1:16">
      <c r="A253" s="3" t="s">
        <v>19</v>
      </c>
      <c r="B253" s="3" t="str">
        <f>"9190436"</f>
        <v>9190436</v>
      </c>
      <c r="C253" s="4" t="s">
        <v>742</v>
      </c>
      <c r="D253" s="3" t="s">
        <v>17</v>
      </c>
      <c r="E253" s="3" t="s">
        <v>17</v>
      </c>
      <c r="F253" s="3" t="s">
        <v>90</v>
      </c>
      <c r="G253" s="3">
        <v>2</v>
      </c>
      <c r="H253" s="3">
        <v>2</v>
      </c>
      <c r="I253" s="3" t="s">
        <v>16</v>
      </c>
      <c r="J253" s="3">
        <v>2310313222</v>
      </c>
      <c r="K253" s="4" t="s">
        <v>743</v>
      </c>
      <c r="L253" s="4" t="s">
        <v>744</v>
      </c>
      <c r="M253" s="3">
        <v>54249</v>
      </c>
      <c r="N253" s="3" t="str">
        <f>"40.605370"</f>
        <v>40.605370</v>
      </c>
      <c r="O253" s="3" t="str">
        <f>"22.965812"</f>
        <v>22.965812</v>
      </c>
      <c r="P253" s="3" t="s">
        <v>23</v>
      </c>
    </row>
    <row r="254" spans="1:16">
      <c r="A254" s="3" t="s">
        <v>19</v>
      </c>
      <c r="B254" s="3" t="str">
        <f>"9190437"</f>
        <v>9190437</v>
      </c>
      <c r="C254" s="4" t="s">
        <v>745</v>
      </c>
      <c r="D254" s="3" t="s">
        <v>17</v>
      </c>
      <c r="E254" s="3" t="s">
        <v>17</v>
      </c>
      <c r="F254" s="3" t="s">
        <v>90</v>
      </c>
      <c r="G254" s="3">
        <v>5</v>
      </c>
      <c r="H254" s="3">
        <v>4</v>
      </c>
      <c r="I254" s="3" t="s">
        <v>16</v>
      </c>
      <c r="J254" s="3">
        <v>2310312700</v>
      </c>
      <c r="K254" s="4" t="s">
        <v>746</v>
      </c>
      <c r="L254" s="4" t="s">
        <v>747</v>
      </c>
      <c r="M254" s="3">
        <v>54250</v>
      </c>
      <c r="N254" s="3" t="str">
        <f>"40.601762"</f>
        <v>40.601762</v>
      </c>
      <c r="O254" s="3" t="str">
        <f>"22.970553"</f>
        <v>22.970553</v>
      </c>
      <c r="P254" s="3" t="s">
        <v>23</v>
      </c>
    </row>
    <row r="255" spans="1:16">
      <c r="A255" s="3" t="s">
        <v>19</v>
      </c>
      <c r="B255" s="3" t="str">
        <f>"9190002"</f>
        <v>9190002</v>
      </c>
      <c r="C255" s="4" t="s">
        <v>707</v>
      </c>
      <c r="D255" s="3" t="s">
        <v>17</v>
      </c>
      <c r="E255" s="3" t="s">
        <v>17</v>
      </c>
      <c r="F255" s="3" t="s">
        <v>90</v>
      </c>
      <c r="G255" s="3">
        <v>3</v>
      </c>
      <c r="H255" s="3">
        <v>3</v>
      </c>
      <c r="I255" s="3" t="s">
        <v>16</v>
      </c>
      <c r="J255" s="3">
        <v>2310411262</v>
      </c>
      <c r="K255" s="4" t="s">
        <v>708</v>
      </c>
      <c r="L255" s="4" t="s">
        <v>709</v>
      </c>
      <c r="M255" s="3">
        <v>54248</v>
      </c>
      <c r="N255" s="3" t="str">
        <f>"40.593788"</f>
        <v>40.593788</v>
      </c>
      <c r="O255" s="3" t="str">
        <f>"22.959440"</f>
        <v>22.959440</v>
      </c>
      <c r="P255" s="3" t="s">
        <v>23</v>
      </c>
    </row>
    <row r="256" spans="1:16">
      <c r="A256" s="3" t="s">
        <v>19</v>
      </c>
      <c r="B256" s="3" t="str">
        <f>"9190445"</f>
        <v>9190445</v>
      </c>
      <c r="C256" s="4" t="s">
        <v>632</v>
      </c>
      <c r="D256" s="3" t="s">
        <v>17</v>
      </c>
      <c r="E256" s="3" t="s">
        <v>17</v>
      </c>
      <c r="F256" s="3" t="s">
        <v>90</v>
      </c>
      <c r="G256" s="3">
        <v>2</v>
      </c>
      <c r="H256" s="3">
        <v>3</v>
      </c>
      <c r="I256" s="3" t="s">
        <v>16</v>
      </c>
      <c r="J256" s="3">
        <v>2310313666</v>
      </c>
      <c r="K256" s="4" t="s">
        <v>633</v>
      </c>
      <c r="L256" s="4" t="s">
        <v>634</v>
      </c>
      <c r="M256" s="3">
        <v>54250</v>
      </c>
      <c r="N256" s="3" t="str">
        <f>"40.596120"</f>
        <v>40.596120</v>
      </c>
      <c r="O256" s="3" t="str">
        <f>"22.974488"</f>
        <v>22.974488</v>
      </c>
      <c r="P256" s="3" t="s">
        <v>23</v>
      </c>
    </row>
    <row r="257" spans="1:16">
      <c r="A257" s="3" t="s">
        <v>19</v>
      </c>
      <c r="B257" s="3" t="str">
        <f>"9190891"</f>
        <v>9190891</v>
      </c>
      <c r="C257" s="4" t="s">
        <v>571</v>
      </c>
      <c r="D257" s="3" t="s">
        <v>17</v>
      </c>
      <c r="E257" s="3" t="s">
        <v>17</v>
      </c>
      <c r="F257" s="3" t="s">
        <v>90</v>
      </c>
      <c r="G257" s="3">
        <v>1</v>
      </c>
      <c r="H257" s="3">
        <v>1</v>
      </c>
      <c r="I257" s="3" t="s">
        <v>16</v>
      </c>
      <c r="J257" s="3">
        <v>2310817185</v>
      </c>
      <c r="K257" s="4" t="s">
        <v>572</v>
      </c>
      <c r="L257" s="4" t="s">
        <v>573</v>
      </c>
      <c r="M257" s="3">
        <v>54641</v>
      </c>
      <c r="N257" s="3" t="str">
        <f>"40.614601"</f>
        <v>40.614601</v>
      </c>
      <c r="O257" s="3" t="str">
        <f>"22.952979"</f>
        <v>22.952979</v>
      </c>
      <c r="P257" s="3" t="s">
        <v>23</v>
      </c>
    </row>
    <row r="258" spans="1:16">
      <c r="A258" s="3" t="s">
        <v>19</v>
      </c>
      <c r="B258" s="3" t="str">
        <f>"9190005"</f>
        <v>9190005</v>
      </c>
      <c r="C258" s="4" t="s">
        <v>925</v>
      </c>
      <c r="D258" s="3" t="s">
        <v>17</v>
      </c>
      <c r="E258" s="3" t="s">
        <v>17</v>
      </c>
      <c r="F258" s="3" t="s">
        <v>90</v>
      </c>
      <c r="G258" s="3">
        <v>2</v>
      </c>
      <c r="H258" s="3">
        <v>2</v>
      </c>
      <c r="I258" s="3" t="s">
        <v>16</v>
      </c>
      <c r="J258" s="3">
        <v>2310411116</v>
      </c>
      <c r="K258" s="4" t="s">
        <v>926</v>
      </c>
      <c r="L258" s="4" t="s">
        <v>927</v>
      </c>
      <c r="M258" s="3">
        <v>54646</v>
      </c>
      <c r="N258" s="3" t="str">
        <f>"40.595832"</f>
        <v>40.595832</v>
      </c>
      <c r="O258" s="3" t="str">
        <f>"22.954614"</f>
        <v>22.954614</v>
      </c>
      <c r="P258" s="3" t="s">
        <v>23</v>
      </c>
    </row>
    <row r="259" spans="1:16">
      <c r="A259" s="3" t="s">
        <v>19</v>
      </c>
      <c r="B259" s="3" t="str">
        <f>"9190007"</f>
        <v>9190007</v>
      </c>
      <c r="C259" s="4" t="s">
        <v>615</v>
      </c>
      <c r="D259" s="3" t="s">
        <v>17</v>
      </c>
      <c r="E259" s="3" t="s">
        <v>17</v>
      </c>
      <c r="F259" s="3" t="s">
        <v>90</v>
      </c>
      <c r="G259" s="3">
        <v>4</v>
      </c>
      <c r="H259" s="3">
        <v>4</v>
      </c>
      <c r="I259" s="3" t="s">
        <v>16</v>
      </c>
      <c r="J259" s="3">
        <v>2310813265</v>
      </c>
      <c r="K259" s="4" t="s">
        <v>616</v>
      </c>
      <c r="L259" s="4" t="s">
        <v>617</v>
      </c>
      <c r="M259" s="3">
        <v>54648</v>
      </c>
      <c r="N259" s="3" t="str">
        <f>"40.602435"</f>
        <v>40.602435</v>
      </c>
      <c r="O259" s="3" t="str">
        <f>"22.960230"</f>
        <v>22.960230</v>
      </c>
      <c r="P259" s="3" t="s">
        <v>23</v>
      </c>
    </row>
    <row r="260" spans="1:16">
      <c r="A260" s="3" t="s">
        <v>19</v>
      </c>
      <c r="B260" s="3" t="str">
        <f>"9190158"</f>
        <v>9190158</v>
      </c>
      <c r="C260" s="4" t="s">
        <v>748</v>
      </c>
      <c r="D260" s="3" t="s">
        <v>17</v>
      </c>
      <c r="E260" s="3" t="s">
        <v>17</v>
      </c>
      <c r="F260" s="3" t="s">
        <v>90</v>
      </c>
      <c r="G260" s="3">
        <v>3</v>
      </c>
      <c r="H260" s="3">
        <v>3</v>
      </c>
      <c r="I260" s="3" t="s">
        <v>16</v>
      </c>
      <c r="J260" s="3">
        <v>2310475875</v>
      </c>
      <c r="K260" s="4" t="s">
        <v>749</v>
      </c>
      <c r="L260" s="4" t="s">
        <v>750</v>
      </c>
      <c r="M260" s="3">
        <v>55535</v>
      </c>
      <c r="N260" s="3" t="str">
        <f>"40.631035"</f>
        <v>40.631035</v>
      </c>
      <c r="O260" s="3" t="str">
        <f>"22.953409"</f>
        <v>22.953409</v>
      </c>
      <c r="P260" s="3" t="s">
        <v>23</v>
      </c>
    </row>
    <row r="261" spans="1:16">
      <c r="A261" s="3" t="s">
        <v>19</v>
      </c>
      <c r="B261" s="3" t="str">
        <f>"9190010"</f>
        <v>9190010</v>
      </c>
      <c r="C261" s="4" t="s">
        <v>719</v>
      </c>
      <c r="D261" s="3" t="s">
        <v>17</v>
      </c>
      <c r="E261" s="3" t="s">
        <v>17</v>
      </c>
      <c r="F261" s="3" t="s">
        <v>90</v>
      </c>
      <c r="G261" s="3">
        <v>2</v>
      </c>
      <c r="H261" s="3">
        <v>2</v>
      </c>
      <c r="I261" s="3" t="s">
        <v>16</v>
      </c>
      <c r="J261" s="3">
        <v>2310835605</v>
      </c>
      <c r="K261" s="4" t="s">
        <v>720</v>
      </c>
      <c r="L261" s="4" t="s">
        <v>210</v>
      </c>
      <c r="M261" s="3">
        <v>54641</v>
      </c>
      <c r="N261" s="3" t="str">
        <f>"40.614031"</f>
        <v>40.614031</v>
      </c>
      <c r="O261" s="3" t="str">
        <f>"22.957876"</f>
        <v>22.957876</v>
      </c>
      <c r="P261" s="3" t="s">
        <v>23</v>
      </c>
    </row>
    <row r="262" spans="1:16">
      <c r="A262" s="3" t="s">
        <v>19</v>
      </c>
      <c r="B262" s="3" t="str">
        <f>"9190889"</f>
        <v>9190889</v>
      </c>
      <c r="C262" s="4" t="s">
        <v>577</v>
      </c>
      <c r="D262" s="3" t="s">
        <v>17</v>
      </c>
      <c r="E262" s="3" t="s">
        <v>17</v>
      </c>
      <c r="F262" s="3" t="s">
        <v>90</v>
      </c>
      <c r="G262" s="3">
        <v>3</v>
      </c>
      <c r="H262" s="3">
        <v>2</v>
      </c>
      <c r="I262" s="3" t="s">
        <v>16</v>
      </c>
      <c r="J262" s="3">
        <v>2310856655</v>
      </c>
      <c r="K262" s="4" t="s">
        <v>578</v>
      </c>
      <c r="L262" s="4" t="s">
        <v>475</v>
      </c>
      <c r="M262" s="3">
        <v>54642</v>
      </c>
      <c r="N262" s="3" t="str">
        <f>"40.611584"</f>
        <v>40.611584</v>
      </c>
      <c r="O262" s="3" t="str">
        <f>"22.961535"</f>
        <v>22.961535</v>
      </c>
      <c r="P262" s="3" t="s">
        <v>23</v>
      </c>
    </row>
    <row r="263" spans="1:16">
      <c r="A263" s="3" t="s">
        <v>19</v>
      </c>
      <c r="B263" s="3" t="str">
        <f>"9190427"</f>
        <v>9190427</v>
      </c>
      <c r="C263" s="4" t="s">
        <v>721</v>
      </c>
      <c r="D263" s="3" t="s">
        <v>17</v>
      </c>
      <c r="E263" s="3" t="s">
        <v>17</v>
      </c>
      <c r="F263" s="3" t="s">
        <v>90</v>
      </c>
      <c r="G263" s="3">
        <v>2</v>
      </c>
      <c r="H263" s="3">
        <v>2</v>
      </c>
      <c r="I263" s="3" t="s">
        <v>16</v>
      </c>
      <c r="J263" s="3">
        <v>2310839443</v>
      </c>
      <c r="K263" s="4" t="s">
        <v>722</v>
      </c>
      <c r="L263" s="4" t="s">
        <v>723</v>
      </c>
      <c r="M263" s="3">
        <v>54642</v>
      </c>
      <c r="N263" s="3" t="str">
        <f>"40.611199"</f>
        <v>40.611199</v>
      </c>
      <c r="O263" s="3" t="str">
        <f>"22.958736"</f>
        <v>22.958736</v>
      </c>
      <c r="P263" s="3" t="s">
        <v>23</v>
      </c>
    </row>
    <row r="264" spans="1:16">
      <c r="A264" s="3" t="s">
        <v>19</v>
      </c>
      <c r="B264" s="3" t="str">
        <f>"9190563"</f>
        <v>9190563</v>
      </c>
      <c r="C264" s="4" t="s">
        <v>688</v>
      </c>
      <c r="D264" s="3" t="s">
        <v>17</v>
      </c>
      <c r="E264" s="3" t="s">
        <v>17</v>
      </c>
      <c r="F264" s="3" t="s">
        <v>90</v>
      </c>
      <c r="G264" s="3">
        <v>3</v>
      </c>
      <c r="H264" s="3">
        <v>3</v>
      </c>
      <c r="I264" s="3" t="s">
        <v>16</v>
      </c>
      <c r="J264" s="3">
        <v>2310825743</v>
      </c>
      <c r="K264" s="4" t="s">
        <v>689</v>
      </c>
      <c r="L264" s="4" t="s">
        <v>96</v>
      </c>
      <c r="M264" s="3">
        <v>54248</v>
      </c>
      <c r="N264" s="3" t="str">
        <f>"40.603675"</f>
        <v>40.603675</v>
      </c>
      <c r="O264" s="3" t="str">
        <f>"22.958572"</f>
        <v>22.958572</v>
      </c>
      <c r="P264" s="3" t="s">
        <v>23</v>
      </c>
    </row>
    <row r="265" spans="1:16">
      <c r="A265" s="3" t="s">
        <v>19</v>
      </c>
      <c r="B265" s="3" t="str">
        <f>"9190569"</f>
        <v>9190569</v>
      </c>
      <c r="C265" s="4" t="s">
        <v>690</v>
      </c>
      <c r="D265" s="3" t="s">
        <v>17</v>
      </c>
      <c r="E265" s="3" t="s">
        <v>17</v>
      </c>
      <c r="F265" s="3" t="s">
        <v>90</v>
      </c>
      <c r="G265" s="3">
        <v>2</v>
      </c>
      <c r="H265" s="3">
        <v>3</v>
      </c>
      <c r="I265" s="3" t="s">
        <v>16</v>
      </c>
      <c r="J265" s="3">
        <v>2310836695</v>
      </c>
      <c r="K265" s="4" t="s">
        <v>691</v>
      </c>
      <c r="L265" s="4" t="s">
        <v>692</v>
      </c>
      <c r="M265" s="3">
        <v>54642</v>
      </c>
      <c r="N265" s="3" t="str">
        <f>"40.609072"</f>
        <v>40.609072</v>
      </c>
      <c r="O265" s="3" t="str">
        <f>"22.957306"</f>
        <v>22.957306</v>
      </c>
      <c r="P265" s="3" t="s">
        <v>23</v>
      </c>
    </row>
    <row r="266" spans="1:16">
      <c r="A266" s="3" t="s">
        <v>19</v>
      </c>
      <c r="B266" s="3" t="str">
        <f>"9190846"</f>
        <v>9190846</v>
      </c>
      <c r="C266" s="4" t="s">
        <v>579</v>
      </c>
      <c r="D266" s="3" t="s">
        <v>17</v>
      </c>
      <c r="E266" s="3" t="s">
        <v>17</v>
      </c>
      <c r="F266" s="3" t="s">
        <v>90</v>
      </c>
      <c r="G266" s="3">
        <v>1</v>
      </c>
      <c r="H266" s="3">
        <v>1</v>
      </c>
      <c r="I266" s="3" t="s">
        <v>16</v>
      </c>
      <c r="J266" s="3">
        <v>2310856433</v>
      </c>
      <c r="K266" s="4" t="s">
        <v>580</v>
      </c>
      <c r="L266" s="4" t="s">
        <v>581</v>
      </c>
      <c r="M266" s="3">
        <v>54641</v>
      </c>
      <c r="N266" s="3" t="str">
        <f>"40.613768"</f>
        <v>40.613768</v>
      </c>
      <c r="O266" s="3" t="str">
        <f>"22.953578"</f>
        <v>22.953578</v>
      </c>
      <c r="P266" s="3" t="s">
        <v>23</v>
      </c>
    </row>
    <row r="267" spans="1:16">
      <c r="A267" s="3" t="s">
        <v>19</v>
      </c>
      <c r="B267" s="3" t="str">
        <f>"9190672"</f>
        <v>9190672</v>
      </c>
      <c r="C267" s="4" t="s">
        <v>693</v>
      </c>
      <c r="D267" s="3" t="s">
        <v>17</v>
      </c>
      <c r="E267" s="3" t="s">
        <v>17</v>
      </c>
      <c r="F267" s="3" t="s">
        <v>90</v>
      </c>
      <c r="G267" s="3">
        <v>2</v>
      </c>
      <c r="H267" s="3">
        <v>3</v>
      </c>
      <c r="I267" s="3" t="s">
        <v>16</v>
      </c>
      <c r="J267" s="3">
        <v>2310304344</v>
      </c>
      <c r="K267" s="4" t="s">
        <v>694</v>
      </c>
      <c r="L267" s="4" t="s">
        <v>695</v>
      </c>
      <c r="M267" s="3">
        <v>54249</v>
      </c>
      <c r="N267" s="3" t="str">
        <f>"40.601427"</f>
        <v>40.601427</v>
      </c>
      <c r="O267" s="3" t="str">
        <f>"22.969238"</f>
        <v>22.969238</v>
      </c>
      <c r="P267" s="3" t="s">
        <v>23</v>
      </c>
    </row>
    <row r="268" spans="1:16">
      <c r="A268" s="3" t="s">
        <v>19</v>
      </c>
      <c r="B268" s="3" t="str">
        <f>"9190576"</f>
        <v>9190576</v>
      </c>
      <c r="C268" s="4" t="s">
        <v>696</v>
      </c>
      <c r="D268" s="3" t="s">
        <v>17</v>
      </c>
      <c r="E268" s="3" t="s">
        <v>17</v>
      </c>
      <c r="F268" s="3" t="s">
        <v>90</v>
      </c>
      <c r="G268" s="3">
        <v>2</v>
      </c>
      <c r="H268" s="3">
        <v>2</v>
      </c>
      <c r="I268" s="3" t="s">
        <v>16</v>
      </c>
      <c r="J268" s="3">
        <v>2316070571</v>
      </c>
      <c r="K268" s="4" t="s">
        <v>697</v>
      </c>
      <c r="L268" s="4" t="s">
        <v>698</v>
      </c>
      <c r="M268" s="3">
        <v>54248</v>
      </c>
      <c r="N268" s="3" t="str">
        <f>"40.603667"</f>
        <v>40.603667</v>
      </c>
      <c r="O268" s="3" t="str">
        <f>"22.958578"</f>
        <v>22.958578</v>
      </c>
      <c r="P268" s="3" t="s">
        <v>23</v>
      </c>
    </row>
    <row r="269" spans="1:16">
      <c r="A269" s="3" t="s">
        <v>19</v>
      </c>
      <c r="B269" s="3" t="str">
        <f>"9190429"</f>
        <v>9190429</v>
      </c>
      <c r="C269" s="4" t="s">
        <v>724</v>
      </c>
      <c r="D269" s="3" t="s">
        <v>17</v>
      </c>
      <c r="E269" s="3" t="s">
        <v>17</v>
      </c>
      <c r="F269" s="3" t="s">
        <v>90</v>
      </c>
      <c r="G269" s="3">
        <v>4</v>
      </c>
      <c r="H269" s="3">
        <v>4</v>
      </c>
      <c r="I269" s="3" t="s">
        <v>16</v>
      </c>
      <c r="J269" s="3">
        <v>2310834134</v>
      </c>
      <c r="K269" s="4" t="s">
        <v>725</v>
      </c>
      <c r="L269" s="4" t="s">
        <v>726</v>
      </c>
      <c r="M269" s="3">
        <v>54644</v>
      </c>
      <c r="N269" s="3" t="str">
        <f>"40.607432"</f>
        <v>40.607432</v>
      </c>
      <c r="O269" s="3" t="str">
        <f>"22.958773"</f>
        <v>22.958773</v>
      </c>
      <c r="P269" s="3" t="s">
        <v>23</v>
      </c>
    </row>
    <row r="270" spans="1:16">
      <c r="A270" s="3" t="s">
        <v>19</v>
      </c>
      <c r="B270" s="3" t="str">
        <f>"9190580"</f>
        <v>9190580</v>
      </c>
      <c r="C270" s="4" t="s">
        <v>653</v>
      </c>
      <c r="D270" s="3" t="s">
        <v>17</v>
      </c>
      <c r="E270" s="3" t="s">
        <v>17</v>
      </c>
      <c r="F270" s="3" t="s">
        <v>90</v>
      </c>
      <c r="G270" s="3">
        <v>4</v>
      </c>
      <c r="H270" s="3">
        <v>4</v>
      </c>
      <c r="I270" s="3" t="s">
        <v>16</v>
      </c>
      <c r="J270" s="3">
        <v>2310411738</v>
      </c>
      <c r="K270" s="4" t="s">
        <v>654</v>
      </c>
      <c r="L270" s="4" t="s">
        <v>655</v>
      </c>
      <c r="M270" s="3">
        <v>54646</v>
      </c>
      <c r="N270" s="3" t="str">
        <f>"40.595633"</f>
        <v>40.595633</v>
      </c>
      <c r="O270" s="3" t="str">
        <f>"22.957683"</f>
        <v>22.957683</v>
      </c>
      <c r="P270" s="3" t="s">
        <v>23</v>
      </c>
    </row>
    <row r="271" spans="1:16">
      <c r="A271" s="3" t="s">
        <v>19</v>
      </c>
      <c r="B271" s="3" t="str">
        <f>"9190565"</f>
        <v>9190565</v>
      </c>
      <c r="C271" s="4" t="s">
        <v>751</v>
      </c>
      <c r="D271" s="3" t="s">
        <v>17</v>
      </c>
      <c r="E271" s="3" t="s">
        <v>17</v>
      </c>
      <c r="F271" s="3" t="s">
        <v>90</v>
      </c>
      <c r="G271" s="3">
        <v>3</v>
      </c>
      <c r="H271" s="3">
        <v>3</v>
      </c>
      <c r="I271" s="3" t="s">
        <v>16</v>
      </c>
      <c r="J271" s="3">
        <v>2310839773</v>
      </c>
      <c r="K271" s="4" t="s">
        <v>752</v>
      </c>
      <c r="L271" s="4" t="s">
        <v>753</v>
      </c>
      <c r="M271" s="3">
        <v>54645</v>
      </c>
      <c r="N271" s="3" t="str">
        <f>"40.599026"</f>
        <v>40.599026</v>
      </c>
      <c r="O271" s="3" t="str">
        <f>"22.950631"</f>
        <v>22.950631</v>
      </c>
      <c r="P271" s="3" t="s">
        <v>23</v>
      </c>
    </row>
    <row r="272" spans="1:16">
      <c r="A272" s="3" t="s">
        <v>19</v>
      </c>
      <c r="B272" s="3" t="str">
        <f>"9190744"</f>
        <v>9190744</v>
      </c>
      <c r="C272" s="4" t="s">
        <v>662</v>
      </c>
      <c r="D272" s="3" t="s">
        <v>17</v>
      </c>
      <c r="E272" s="3" t="s">
        <v>17</v>
      </c>
      <c r="F272" s="3" t="s">
        <v>90</v>
      </c>
      <c r="G272" s="3">
        <v>2</v>
      </c>
      <c r="H272" s="3">
        <v>3</v>
      </c>
      <c r="I272" s="3" t="s">
        <v>16</v>
      </c>
      <c r="J272" s="3">
        <v>2310327881</v>
      </c>
      <c r="K272" s="4" t="s">
        <v>663</v>
      </c>
      <c r="L272" s="4" t="s">
        <v>248</v>
      </c>
      <c r="M272" s="3">
        <v>54249</v>
      </c>
      <c r="N272" s="3" t="str">
        <f>"40.601484"</f>
        <v>40.601484</v>
      </c>
      <c r="O272" s="3" t="str">
        <f>"22.968830"</f>
        <v>22.968830</v>
      </c>
      <c r="P272" s="3" t="s">
        <v>23</v>
      </c>
    </row>
    <row r="273" spans="1:16">
      <c r="A273" s="3" t="s">
        <v>19</v>
      </c>
      <c r="B273" s="3" t="str">
        <f>"9190052"</f>
        <v>9190052</v>
      </c>
      <c r="C273" s="4" t="s">
        <v>856</v>
      </c>
      <c r="D273" s="3" t="s">
        <v>17</v>
      </c>
      <c r="E273" s="3" t="s">
        <v>17</v>
      </c>
      <c r="F273" s="3" t="s">
        <v>90</v>
      </c>
      <c r="G273" s="3">
        <v>3</v>
      </c>
      <c r="H273" s="3">
        <v>3</v>
      </c>
      <c r="I273" s="3" t="s">
        <v>16</v>
      </c>
      <c r="J273" s="3">
        <v>2310848679</v>
      </c>
      <c r="K273" s="4" t="s">
        <v>857</v>
      </c>
      <c r="L273" s="4" t="s">
        <v>841</v>
      </c>
      <c r="M273" s="3">
        <v>54639</v>
      </c>
      <c r="N273" s="3" t="str">
        <f>"40.614827"</f>
        <v>40.614827</v>
      </c>
      <c r="O273" s="3" t="str">
        <f>"22.960566"</f>
        <v>22.960566</v>
      </c>
      <c r="P273" s="3" t="s">
        <v>23</v>
      </c>
    </row>
    <row r="274" spans="1:16">
      <c r="A274" s="3" t="s">
        <v>19</v>
      </c>
      <c r="B274" s="3" t="str">
        <f>"9190192"</f>
        <v>9190192</v>
      </c>
      <c r="C274" s="4" t="s">
        <v>276</v>
      </c>
      <c r="D274" s="3" t="s">
        <v>17</v>
      </c>
      <c r="E274" s="3" t="s">
        <v>275</v>
      </c>
      <c r="F274" s="3" t="s">
        <v>275</v>
      </c>
      <c r="G274" s="3">
        <v>2</v>
      </c>
      <c r="H274" s="3">
        <v>2</v>
      </c>
      <c r="I274" s="3" t="s">
        <v>16</v>
      </c>
      <c r="J274" s="3">
        <v>2310926788</v>
      </c>
      <c r="K274" s="4" t="s">
        <v>277</v>
      </c>
      <c r="L274" s="4" t="s">
        <v>278</v>
      </c>
      <c r="M274" s="3">
        <v>55337</v>
      </c>
      <c r="N274" s="3" t="str">
        <f>"40.623358"</f>
        <v>40.623358</v>
      </c>
      <c r="O274" s="3" t="str">
        <f>"22.972673"</f>
        <v>22.972673</v>
      </c>
      <c r="P274" s="3" t="s">
        <v>23</v>
      </c>
    </row>
    <row r="275" spans="1:16">
      <c r="A275" s="3" t="s">
        <v>19</v>
      </c>
      <c r="B275" s="3" t="str">
        <f>"9190474"</f>
        <v>9190474</v>
      </c>
      <c r="C275" s="4" t="s">
        <v>525</v>
      </c>
      <c r="D275" s="3" t="s">
        <v>17</v>
      </c>
      <c r="E275" s="3" t="s">
        <v>275</v>
      </c>
      <c r="F275" s="3" t="s">
        <v>275</v>
      </c>
      <c r="G275" s="3">
        <v>2</v>
      </c>
      <c r="H275" s="3">
        <v>2</v>
      </c>
      <c r="I275" s="3" t="s">
        <v>16</v>
      </c>
      <c r="J275" s="3">
        <v>2310940303</v>
      </c>
      <c r="K275" s="4" t="s">
        <v>526</v>
      </c>
      <c r="L275" s="4" t="s">
        <v>527</v>
      </c>
      <c r="M275" s="3">
        <v>55337</v>
      </c>
      <c r="N275" s="3" t="str">
        <f>"40.621692"</f>
        <v>40.621692</v>
      </c>
      <c r="O275" s="3" t="str">
        <f>"22.975206"</f>
        <v>22.975206</v>
      </c>
      <c r="P275" s="3" t="s">
        <v>23</v>
      </c>
    </row>
    <row r="276" spans="1:16">
      <c r="A276" s="3" t="s">
        <v>19</v>
      </c>
      <c r="B276" s="3" t="str">
        <f>"9190585"</f>
        <v>9190585</v>
      </c>
      <c r="C276" s="4" t="s">
        <v>539</v>
      </c>
      <c r="D276" s="3" t="s">
        <v>17</v>
      </c>
      <c r="E276" s="3" t="s">
        <v>275</v>
      </c>
      <c r="F276" s="3" t="s">
        <v>275</v>
      </c>
      <c r="G276" s="3">
        <v>1</v>
      </c>
      <c r="H276" s="3">
        <v>1</v>
      </c>
      <c r="I276" s="3" t="s">
        <v>16</v>
      </c>
      <c r="J276" s="3">
        <v>2310931117</v>
      </c>
      <c r="K276" s="4" t="s">
        <v>540</v>
      </c>
      <c r="L276" s="4" t="s">
        <v>541</v>
      </c>
      <c r="M276" s="3">
        <v>55337</v>
      </c>
      <c r="N276" s="3" t="str">
        <f>"40.621096"</f>
        <v>40.621096</v>
      </c>
      <c r="O276" s="3" t="str">
        <f>"22.969935"</f>
        <v>22.969935</v>
      </c>
      <c r="P276" s="3" t="s">
        <v>23</v>
      </c>
    </row>
    <row r="277" spans="1:16">
      <c r="A277" s="3" t="s">
        <v>19</v>
      </c>
      <c r="B277" s="3" t="str">
        <f>"9190797"</f>
        <v>9190797</v>
      </c>
      <c r="C277" s="4" t="s">
        <v>544</v>
      </c>
      <c r="D277" s="3" t="s">
        <v>17</v>
      </c>
      <c r="E277" s="3" t="s">
        <v>275</v>
      </c>
      <c r="F277" s="3" t="s">
        <v>275</v>
      </c>
      <c r="G277" s="3">
        <v>2</v>
      </c>
      <c r="H277" s="3">
        <v>1</v>
      </c>
      <c r="I277" s="3" t="s">
        <v>16</v>
      </c>
      <c r="J277" s="3">
        <v>2310928095</v>
      </c>
      <c r="K277" s="4" t="s">
        <v>545</v>
      </c>
      <c r="L277" s="4" t="s">
        <v>546</v>
      </c>
      <c r="M277" s="3">
        <v>55337</v>
      </c>
      <c r="N277" s="3" t="str">
        <f>"40.623915"</f>
        <v>40.623915</v>
      </c>
      <c r="O277" s="3" t="str">
        <f>"22.975358"</f>
        <v>22.975358</v>
      </c>
      <c r="P277" s="3" t="s">
        <v>23</v>
      </c>
    </row>
    <row r="278" spans="1:16">
      <c r="A278" s="3" t="s">
        <v>19</v>
      </c>
      <c r="B278" s="3" t="str">
        <f>"9190671"</f>
        <v>9190671</v>
      </c>
      <c r="C278" s="4" t="s">
        <v>369</v>
      </c>
      <c r="D278" s="3" t="s">
        <v>18</v>
      </c>
      <c r="E278" s="3" t="s">
        <v>18</v>
      </c>
      <c r="F278" s="3" t="s">
        <v>18</v>
      </c>
      <c r="G278" s="3">
        <v>2</v>
      </c>
      <c r="H278" s="3">
        <v>2</v>
      </c>
      <c r="I278" s="3" t="s">
        <v>16</v>
      </c>
      <c r="J278" s="3">
        <v>2310430330</v>
      </c>
      <c r="K278" s="4" t="s">
        <v>370</v>
      </c>
      <c r="L278" s="4" t="s">
        <v>371</v>
      </c>
      <c r="M278" s="3">
        <v>55132</v>
      </c>
      <c r="N278" s="3" t="str">
        <f>"40.573771"</f>
        <v>40.573771</v>
      </c>
      <c r="O278" s="3" t="str">
        <f>"22.952088"</f>
        <v>22.952088</v>
      </c>
      <c r="P278" s="3" t="s">
        <v>23</v>
      </c>
    </row>
    <row r="279" spans="1:16">
      <c r="A279" s="3" t="s">
        <v>19</v>
      </c>
      <c r="B279" s="3" t="str">
        <f>"9190567"</f>
        <v>9190567</v>
      </c>
      <c r="C279" s="4" t="s">
        <v>483</v>
      </c>
      <c r="D279" s="3" t="s">
        <v>18</v>
      </c>
      <c r="E279" s="3" t="s">
        <v>18</v>
      </c>
      <c r="F279" s="3" t="s">
        <v>18</v>
      </c>
      <c r="G279" s="3">
        <v>3</v>
      </c>
      <c r="H279" s="3">
        <v>4</v>
      </c>
      <c r="I279" s="3" t="s">
        <v>16</v>
      </c>
      <c r="J279" s="3">
        <v>2311301086</v>
      </c>
      <c r="K279" s="4" t="s">
        <v>484</v>
      </c>
      <c r="L279" s="4" t="s">
        <v>485</v>
      </c>
      <c r="M279" s="3">
        <v>55133</v>
      </c>
      <c r="N279" s="3" t="str">
        <f>"40.587668"</f>
        <v>40.587668</v>
      </c>
      <c r="O279" s="3" t="str">
        <f>"22.954008"</f>
        <v>22.954008</v>
      </c>
      <c r="P279" s="3" t="s">
        <v>23</v>
      </c>
    </row>
    <row r="280" spans="1:16">
      <c r="A280" s="3" t="s">
        <v>19</v>
      </c>
      <c r="B280" s="3" t="str">
        <f>"9190670"</f>
        <v>9190670</v>
      </c>
      <c r="C280" s="4" t="s">
        <v>683</v>
      </c>
      <c r="D280" s="3" t="s">
        <v>18</v>
      </c>
      <c r="E280" s="3" t="s">
        <v>18</v>
      </c>
      <c r="F280" s="3" t="s">
        <v>18</v>
      </c>
      <c r="G280" s="3">
        <v>2</v>
      </c>
      <c r="H280" s="3">
        <v>3</v>
      </c>
      <c r="I280" s="3" t="s">
        <v>16</v>
      </c>
      <c r="J280" s="3">
        <v>2310447961</v>
      </c>
      <c r="K280" s="4" t="s">
        <v>684</v>
      </c>
      <c r="L280" s="4" t="s">
        <v>177</v>
      </c>
      <c r="M280" s="3">
        <v>55132</v>
      </c>
      <c r="N280" s="3" t="str">
        <f>"40.576560"</f>
        <v>40.576560</v>
      </c>
      <c r="O280" s="3" t="str">
        <f>"22.963432"</f>
        <v>22.963432</v>
      </c>
      <c r="P280" s="3" t="s">
        <v>23</v>
      </c>
    </row>
    <row r="281" spans="1:16">
      <c r="A281" s="3" t="s">
        <v>19</v>
      </c>
      <c r="B281" s="3" t="str">
        <f>"9190568"</f>
        <v>9190568</v>
      </c>
      <c r="C281" s="4" t="s">
        <v>612</v>
      </c>
      <c r="D281" s="3" t="s">
        <v>18</v>
      </c>
      <c r="E281" s="3" t="s">
        <v>18</v>
      </c>
      <c r="F281" s="3" t="s">
        <v>18</v>
      </c>
      <c r="G281" s="3">
        <v>2</v>
      </c>
      <c r="H281" s="3">
        <v>2</v>
      </c>
      <c r="I281" s="3" t="s">
        <v>16</v>
      </c>
      <c r="J281" s="3">
        <v>2310432402</v>
      </c>
      <c r="K281" s="4" t="s">
        <v>613</v>
      </c>
      <c r="L281" s="4" t="s">
        <v>614</v>
      </c>
      <c r="M281" s="3">
        <v>55134</v>
      </c>
      <c r="N281" s="3" t="str">
        <f>"40.585131"</f>
        <v>40.585131</v>
      </c>
      <c r="O281" s="3" t="str">
        <f>"22.964622"</f>
        <v>22.964622</v>
      </c>
      <c r="P281" s="3" t="s">
        <v>23</v>
      </c>
    </row>
    <row r="282" spans="1:16">
      <c r="A282" s="3" t="s">
        <v>19</v>
      </c>
      <c r="B282" s="3" t="str">
        <f>"9190743"</f>
        <v>9190743</v>
      </c>
      <c r="C282" s="4" t="s">
        <v>193</v>
      </c>
      <c r="D282" s="3" t="s">
        <v>18</v>
      </c>
      <c r="E282" s="3" t="s">
        <v>18</v>
      </c>
      <c r="F282" s="3" t="s">
        <v>18</v>
      </c>
      <c r="G282" s="3">
        <v>2</v>
      </c>
      <c r="H282" s="3">
        <v>2</v>
      </c>
      <c r="I282" s="3" t="s">
        <v>16</v>
      </c>
      <c r="J282" s="3">
        <v>2310436414</v>
      </c>
      <c r="K282" s="4" t="s">
        <v>194</v>
      </c>
      <c r="L282" s="4" t="s">
        <v>195</v>
      </c>
      <c r="M282" s="3">
        <v>55132</v>
      </c>
      <c r="N282" s="3" t="str">
        <f>"40.571814"</f>
        <v>40.571814</v>
      </c>
      <c r="O282" s="3" t="str">
        <f>"22.963292"</f>
        <v>22.963292</v>
      </c>
      <c r="P282" s="3" t="s">
        <v>23</v>
      </c>
    </row>
    <row r="283" spans="1:16">
      <c r="A283" s="3" t="s">
        <v>19</v>
      </c>
      <c r="B283" s="3" t="str">
        <f>"9190764"</f>
        <v>9190764</v>
      </c>
      <c r="C283" s="4" t="s">
        <v>825</v>
      </c>
      <c r="D283" s="3" t="s">
        <v>18</v>
      </c>
      <c r="E283" s="3" t="s">
        <v>18</v>
      </c>
      <c r="F283" s="3" t="s">
        <v>18</v>
      </c>
      <c r="G283" s="3">
        <v>3</v>
      </c>
      <c r="H283" s="3">
        <v>4</v>
      </c>
      <c r="I283" s="3" t="s">
        <v>16</v>
      </c>
      <c r="J283" s="3">
        <v>2311301088</v>
      </c>
      <c r="K283" s="4" t="s">
        <v>826</v>
      </c>
      <c r="L283" s="4" t="s">
        <v>827</v>
      </c>
      <c r="M283" s="3">
        <v>55132</v>
      </c>
      <c r="N283" s="3" t="str">
        <f>"40.564572"</f>
        <v>40.564572</v>
      </c>
      <c r="O283" s="3" t="str">
        <f>"22.962098"</f>
        <v>22.962098</v>
      </c>
      <c r="P283" s="3" t="s">
        <v>23</v>
      </c>
    </row>
    <row r="284" spans="1:16">
      <c r="A284" s="3" t="s">
        <v>19</v>
      </c>
      <c r="B284" s="3" t="str">
        <f>"9190818"</f>
        <v>9190818</v>
      </c>
      <c r="C284" s="4" t="s">
        <v>589</v>
      </c>
      <c r="D284" s="3" t="s">
        <v>18</v>
      </c>
      <c r="E284" s="3" t="s">
        <v>18</v>
      </c>
      <c r="F284" s="3" t="s">
        <v>18</v>
      </c>
      <c r="G284" s="3">
        <v>2</v>
      </c>
      <c r="H284" s="3">
        <v>2</v>
      </c>
      <c r="I284" s="3" t="s">
        <v>16</v>
      </c>
      <c r="J284" s="3">
        <v>2310415777</v>
      </c>
      <c r="K284" s="4" t="s">
        <v>590</v>
      </c>
      <c r="L284" s="4" t="s">
        <v>591</v>
      </c>
      <c r="M284" s="3">
        <v>55131</v>
      </c>
      <c r="N284" s="3" t="str">
        <f>"40.588580"</f>
        <v>40.588580</v>
      </c>
      <c r="O284" s="3" t="str">
        <f>"22.952440"</f>
        <v>22.952440</v>
      </c>
      <c r="P284" s="3" t="s">
        <v>23</v>
      </c>
    </row>
    <row r="285" spans="1:16">
      <c r="A285" s="3" t="s">
        <v>19</v>
      </c>
      <c r="B285" s="3" t="str">
        <f>"9190819"</f>
        <v>9190819</v>
      </c>
      <c r="C285" s="4" t="s">
        <v>366</v>
      </c>
      <c r="D285" s="3" t="s">
        <v>18</v>
      </c>
      <c r="E285" s="3" t="s">
        <v>18</v>
      </c>
      <c r="F285" s="3" t="s">
        <v>18</v>
      </c>
      <c r="G285" s="3">
        <v>2</v>
      </c>
      <c r="H285" s="3">
        <v>2</v>
      </c>
      <c r="I285" s="3" t="s">
        <v>16</v>
      </c>
      <c r="J285" s="3">
        <v>2311301087</v>
      </c>
      <c r="K285" s="4" t="s">
        <v>367</v>
      </c>
      <c r="L285" s="4" t="s">
        <v>368</v>
      </c>
      <c r="M285" s="3">
        <v>55134</v>
      </c>
      <c r="N285" s="3" t="str">
        <f>"40.589917"</f>
        <v>40.589917</v>
      </c>
      <c r="O285" s="3" t="str">
        <f>"22.963165"</f>
        <v>22.963165</v>
      </c>
      <c r="P285" s="3" t="s">
        <v>23</v>
      </c>
    </row>
    <row r="286" spans="1:16">
      <c r="A286" s="3" t="s">
        <v>19</v>
      </c>
      <c r="B286" s="3" t="str">
        <f>"9190843"</f>
        <v>9190843</v>
      </c>
      <c r="C286" s="4" t="s">
        <v>489</v>
      </c>
      <c r="D286" s="3" t="s">
        <v>18</v>
      </c>
      <c r="E286" s="3" t="s">
        <v>18</v>
      </c>
      <c r="F286" s="3" t="s">
        <v>18</v>
      </c>
      <c r="G286" s="3">
        <v>2</v>
      </c>
      <c r="H286" s="3">
        <v>3</v>
      </c>
      <c r="I286" s="3" t="s">
        <v>16</v>
      </c>
      <c r="J286" s="3">
        <v>2310441490</v>
      </c>
      <c r="K286" s="4" t="s">
        <v>490</v>
      </c>
      <c r="L286" s="4" t="s">
        <v>491</v>
      </c>
      <c r="M286" s="3">
        <v>55134</v>
      </c>
      <c r="N286" s="3" t="str">
        <f>"40.583920"</f>
        <v>40.583920</v>
      </c>
      <c r="O286" s="3" t="str">
        <f>"22.967014"</f>
        <v>22.967014</v>
      </c>
      <c r="P286" s="3" t="s">
        <v>23</v>
      </c>
    </row>
    <row r="287" spans="1:16">
      <c r="A287" s="3" t="s">
        <v>19</v>
      </c>
      <c r="B287" s="3" t="str">
        <f>"9190844"</f>
        <v>9190844</v>
      </c>
      <c r="C287" s="4" t="s">
        <v>25</v>
      </c>
      <c r="D287" s="3" t="s">
        <v>18</v>
      </c>
      <c r="E287" s="3" t="s">
        <v>18</v>
      </c>
      <c r="F287" s="3" t="s">
        <v>18</v>
      </c>
      <c r="G287" s="3">
        <v>2</v>
      </c>
      <c r="H287" s="3">
        <v>2</v>
      </c>
      <c r="I287" s="3" t="s">
        <v>16</v>
      </c>
      <c r="J287" s="3">
        <v>2310481337</v>
      </c>
      <c r="K287" s="4" t="s">
        <v>26</v>
      </c>
      <c r="L287" s="4" t="s">
        <v>27</v>
      </c>
      <c r="M287" s="3">
        <v>55134</v>
      </c>
      <c r="N287" s="3" t="str">
        <f>"40.576827"</f>
        <v>40.576827</v>
      </c>
      <c r="O287" s="3" t="str">
        <f>"22.966925"</f>
        <v>22.966925</v>
      </c>
      <c r="P287" s="3" t="s">
        <v>23</v>
      </c>
    </row>
    <row r="288" spans="1:16">
      <c r="A288" s="3" t="s">
        <v>19</v>
      </c>
      <c r="B288" s="3" t="str">
        <f>"9190018"</f>
        <v>9190018</v>
      </c>
      <c r="C288" s="4" t="s">
        <v>621</v>
      </c>
      <c r="D288" s="3" t="s">
        <v>18</v>
      </c>
      <c r="E288" s="3" t="s">
        <v>18</v>
      </c>
      <c r="F288" s="3" t="s">
        <v>18</v>
      </c>
      <c r="G288" s="3">
        <v>2</v>
      </c>
      <c r="H288" s="3">
        <v>2</v>
      </c>
      <c r="I288" s="3" t="s">
        <v>16</v>
      </c>
      <c r="J288" s="3">
        <v>2310426648</v>
      </c>
      <c r="K288" s="4" t="s">
        <v>622</v>
      </c>
      <c r="L288" s="4" t="s">
        <v>623</v>
      </c>
      <c r="M288" s="3">
        <v>55131</v>
      </c>
      <c r="N288" s="3" t="str">
        <f>"40.584941"</f>
        <v>40.584941</v>
      </c>
      <c r="O288" s="3" t="str">
        <f>"22.952733"</f>
        <v>22.952733</v>
      </c>
      <c r="P288" s="3" t="s">
        <v>23</v>
      </c>
    </row>
    <row r="289" spans="1:16">
      <c r="A289" s="3" t="s">
        <v>19</v>
      </c>
      <c r="B289" s="3" t="str">
        <f>"9190872"</f>
        <v>9190872</v>
      </c>
      <c r="C289" s="4" t="s">
        <v>20</v>
      </c>
      <c r="D289" s="3" t="s">
        <v>18</v>
      </c>
      <c r="E289" s="3" t="s">
        <v>18</v>
      </c>
      <c r="F289" s="3" t="s">
        <v>18</v>
      </c>
      <c r="G289" s="3">
        <v>2</v>
      </c>
      <c r="H289" s="3">
        <v>2</v>
      </c>
      <c r="I289" s="3" t="s">
        <v>16</v>
      </c>
      <c r="J289" s="3">
        <v>2310455141</v>
      </c>
      <c r="K289" s="4" t="s">
        <v>21</v>
      </c>
      <c r="L289" s="4" t="s">
        <v>22</v>
      </c>
      <c r="M289" s="3">
        <v>55132</v>
      </c>
      <c r="N289" s="3" t="str">
        <f>"40.573789"</f>
        <v>40.573789</v>
      </c>
      <c r="O289" s="3" t="str">
        <f>"22.966837"</f>
        <v>22.966837</v>
      </c>
      <c r="P289" s="3" t="s">
        <v>23</v>
      </c>
    </row>
    <row r="290" spans="1:16">
      <c r="A290" s="3" t="s">
        <v>19</v>
      </c>
      <c r="B290" s="3" t="str">
        <f>"9190880"</f>
        <v>9190880</v>
      </c>
      <c r="C290" s="4" t="s">
        <v>110</v>
      </c>
      <c r="D290" s="3" t="s">
        <v>18</v>
      </c>
      <c r="E290" s="3" t="s">
        <v>18</v>
      </c>
      <c r="F290" s="3" t="s">
        <v>18</v>
      </c>
      <c r="G290" s="3">
        <v>2</v>
      </c>
      <c r="H290" s="3">
        <v>3</v>
      </c>
      <c r="I290" s="3" t="s">
        <v>16</v>
      </c>
      <c r="J290" s="3">
        <v>2310426535</v>
      </c>
      <c r="K290" s="4" t="s">
        <v>111</v>
      </c>
      <c r="L290" s="4" t="s">
        <v>112</v>
      </c>
      <c r="M290" s="3">
        <v>55133</v>
      </c>
      <c r="N290" s="3" t="str">
        <f>"40.590205"</f>
        <v>40.590205</v>
      </c>
      <c r="O290" s="3" t="str">
        <f>"22.955791"</f>
        <v>22.955791</v>
      </c>
      <c r="P290" s="3" t="s">
        <v>23</v>
      </c>
    </row>
    <row r="291" spans="1:16">
      <c r="A291" s="3" t="s">
        <v>19</v>
      </c>
      <c r="B291" s="3" t="str">
        <f>"9190913"</f>
        <v>9190913</v>
      </c>
      <c r="C291" s="4" t="s">
        <v>154</v>
      </c>
      <c r="D291" s="3" t="s">
        <v>18</v>
      </c>
      <c r="E291" s="3" t="s">
        <v>18</v>
      </c>
      <c r="F291" s="3" t="s">
        <v>18</v>
      </c>
      <c r="G291" s="3">
        <v>2</v>
      </c>
      <c r="H291" s="3">
        <v>2</v>
      </c>
      <c r="I291" s="3" t="s">
        <v>16</v>
      </c>
      <c r="J291" s="3">
        <v>2310414884</v>
      </c>
      <c r="K291" s="4" t="s">
        <v>155</v>
      </c>
      <c r="L291" s="4" t="s">
        <v>156</v>
      </c>
      <c r="M291" s="3">
        <v>55131</v>
      </c>
      <c r="N291" s="3" t="str">
        <f>"40.590166"</f>
        <v>40.590166</v>
      </c>
      <c r="O291" s="3" t="str">
        <f>"22.947368"</f>
        <v>22.947368</v>
      </c>
      <c r="P291" s="3" t="s">
        <v>23</v>
      </c>
    </row>
    <row r="292" spans="1:16">
      <c r="A292" s="3" t="s">
        <v>19</v>
      </c>
      <c r="B292" s="3" t="str">
        <f>"9190941"</f>
        <v>9190941</v>
      </c>
      <c r="C292" s="4" t="s">
        <v>378</v>
      </c>
      <c r="D292" s="3" t="s">
        <v>18</v>
      </c>
      <c r="E292" s="3" t="s">
        <v>18</v>
      </c>
      <c r="F292" s="3" t="s">
        <v>18</v>
      </c>
      <c r="G292" s="3">
        <v>2</v>
      </c>
      <c r="H292" s="3">
        <v>2</v>
      </c>
      <c r="I292" s="3" t="s">
        <v>16</v>
      </c>
      <c r="J292" s="3">
        <v>2310458929</v>
      </c>
      <c r="K292" s="4" t="s">
        <v>379</v>
      </c>
      <c r="L292" s="4" t="s">
        <v>380</v>
      </c>
      <c r="M292" s="3">
        <v>55132</v>
      </c>
      <c r="N292" s="3" t="str">
        <f>"40.579741"</f>
        <v>40.579741</v>
      </c>
      <c r="O292" s="3" t="str">
        <f>"22.952493"</f>
        <v>22.952493</v>
      </c>
      <c r="P292" s="3" t="s">
        <v>23</v>
      </c>
    </row>
    <row r="293" spans="1:16">
      <c r="A293" s="3" t="s">
        <v>19</v>
      </c>
      <c r="B293" s="3" t="str">
        <f>"9520588"</f>
        <v>9520588</v>
      </c>
      <c r="C293" s="4" t="s">
        <v>820</v>
      </c>
      <c r="D293" s="3" t="s">
        <v>18</v>
      </c>
      <c r="E293" s="3" t="s">
        <v>18</v>
      </c>
      <c r="F293" s="3" t="s">
        <v>18</v>
      </c>
      <c r="G293" s="3">
        <v>4</v>
      </c>
      <c r="H293" s="3">
        <v>4</v>
      </c>
      <c r="I293" s="3" t="s">
        <v>16</v>
      </c>
      <c r="J293" s="3">
        <v>2310449360</v>
      </c>
      <c r="K293" s="4" t="s">
        <v>821</v>
      </c>
      <c r="L293" s="4" t="s">
        <v>131</v>
      </c>
      <c r="M293" s="3">
        <v>55132</v>
      </c>
      <c r="N293" s="3" t="str">
        <f>"40.577920"</f>
        <v>40.577920</v>
      </c>
      <c r="O293" s="3" t="str">
        <f>"22.950570"</f>
        <v>22.950570</v>
      </c>
      <c r="P293" s="3" t="s">
        <v>23</v>
      </c>
    </row>
    <row r="294" spans="1:16">
      <c r="A294" s="3" t="s">
        <v>19</v>
      </c>
      <c r="B294" s="3" t="str">
        <f>"9190022"</f>
        <v>9190022</v>
      </c>
      <c r="C294" s="4" t="s">
        <v>466</v>
      </c>
      <c r="D294" s="3" t="s">
        <v>18</v>
      </c>
      <c r="E294" s="3" t="s">
        <v>18</v>
      </c>
      <c r="F294" s="3" t="s">
        <v>18</v>
      </c>
      <c r="G294" s="3">
        <v>4</v>
      </c>
      <c r="H294" s="3">
        <v>4</v>
      </c>
      <c r="I294" s="3" t="s">
        <v>16</v>
      </c>
      <c r="J294" s="3">
        <v>2311300608</v>
      </c>
      <c r="K294" s="4" t="s">
        <v>467</v>
      </c>
      <c r="L294" s="4" t="s">
        <v>468</v>
      </c>
      <c r="M294" s="3">
        <v>55133</v>
      </c>
      <c r="N294" s="3" t="str">
        <f>"40.577957"</f>
        <v>40.577957</v>
      </c>
      <c r="O294" s="3" t="str">
        <f>"22.957680"</f>
        <v>22.957680</v>
      </c>
      <c r="P294" s="3" t="s">
        <v>23</v>
      </c>
    </row>
    <row r="295" spans="1:16">
      <c r="A295" s="3" t="s">
        <v>19</v>
      </c>
      <c r="B295" s="3" t="str">
        <f>"9190024"</f>
        <v>9190024</v>
      </c>
      <c r="C295" s="4" t="s">
        <v>385</v>
      </c>
      <c r="D295" s="3" t="s">
        <v>18</v>
      </c>
      <c r="E295" s="3" t="s">
        <v>18</v>
      </c>
      <c r="F295" s="3" t="s">
        <v>18</v>
      </c>
      <c r="G295" s="3">
        <v>2</v>
      </c>
      <c r="H295" s="3">
        <v>3</v>
      </c>
      <c r="I295" s="3" t="s">
        <v>16</v>
      </c>
      <c r="J295" s="3">
        <v>2310441323</v>
      </c>
      <c r="K295" s="4" t="s">
        <v>386</v>
      </c>
      <c r="L295" s="4" t="s">
        <v>387</v>
      </c>
      <c r="M295" s="3">
        <v>55132</v>
      </c>
      <c r="N295" s="3" t="str">
        <f>"40.568808"</f>
        <v>40.568808</v>
      </c>
      <c r="O295" s="3" t="str">
        <f>"22.960333"</f>
        <v>22.960333</v>
      </c>
      <c r="P295" s="3" t="s">
        <v>23</v>
      </c>
    </row>
    <row r="296" spans="1:16">
      <c r="A296" s="3" t="s">
        <v>19</v>
      </c>
      <c r="B296" s="3" t="str">
        <f>"9190027"</f>
        <v>9190027</v>
      </c>
      <c r="C296" s="4" t="s">
        <v>375</v>
      </c>
      <c r="D296" s="3" t="s">
        <v>18</v>
      </c>
      <c r="E296" s="3" t="s">
        <v>18</v>
      </c>
      <c r="F296" s="3" t="s">
        <v>18</v>
      </c>
      <c r="G296" s="3">
        <v>2</v>
      </c>
      <c r="H296" s="3">
        <v>2</v>
      </c>
      <c r="I296" s="3" t="s">
        <v>16</v>
      </c>
      <c r="J296" s="3">
        <v>2310433077</v>
      </c>
      <c r="K296" s="4" t="s">
        <v>376</v>
      </c>
      <c r="L296" s="4" t="s">
        <v>377</v>
      </c>
      <c r="M296" s="3">
        <v>55134</v>
      </c>
      <c r="N296" s="3" t="str">
        <f>"40.585483"</f>
        <v>40.585483</v>
      </c>
      <c r="O296" s="3" t="str">
        <f>"22.969246"</f>
        <v>22.969246</v>
      </c>
      <c r="P296" s="3" t="s">
        <v>23</v>
      </c>
    </row>
    <row r="297" spans="1:16">
      <c r="A297" s="3" t="s">
        <v>19</v>
      </c>
      <c r="B297" s="3" t="str">
        <f>"9190028"</f>
        <v>9190028</v>
      </c>
      <c r="C297" s="4" t="s">
        <v>822</v>
      </c>
      <c r="D297" s="3" t="s">
        <v>18</v>
      </c>
      <c r="E297" s="3" t="s">
        <v>18</v>
      </c>
      <c r="F297" s="3" t="s">
        <v>18</v>
      </c>
      <c r="G297" s="3">
        <v>1</v>
      </c>
      <c r="H297" s="3">
        <v>1</v>
      </c>
      <c r="I297" s="3" t="s">
        <v>16</v>
      </c>
      <c r="J297" s="3">
        <v>2310414429</v>
      </c>
      <c r="K297" s="4" t="s">
        <v>823</v>
      </c>
      <c r="L297" s="4" t="s">
        <v>824</v>
      </c>
      <c r="M297" s="3">
        <v>55131</v>
      </c>
      <c r="N297" s="3" t="str">
        <f>"40.589423"</f>
        <v>40.589423</v>
      </c>
      <c r="O297" s="3" t="str">
        <f>"22.944834"</f>
        <v>22.944834</v>
      </c>
      <c r="P297" s="3" t="s">
        <v>23</v>
      </c>
    </row>
    <row r="298" spans="1:16">
      <c r="A298" s="3" t="s">
        <v>19</v>
      </c>
      <c r="B298" s="3" t="str">
        <f>"9190030"</f>
        <v>9190030</v>
      </c>
      <c r="C298" s="4" t="s">
        <v>351</v>
      </c>
      <c r="D298" s="3" t="s">
        <v>18</v>
      </c>
      <c r="E298" s="3" t="s">
        <v>18</v>
      </c>
      <c r="F298" s="3" t="s">
        <v>18</v>
      </c>
      <c r="G298" s="3">
        <v>2</v>
      </c>
      <c r="H298" s="3">
        <v>3</v>
      </c>
      <c r="I298" s="3" t="s">
        <v>16</v>
      </c>
      <c r="J298" s="3">
        <v>2310430600</v>
      </c>
      <c r="K298" s="4" t="s">
        <v>352</v>
      </c>
      <c r="L298" s="4" t="s">
        <v>353</v>
      </c>
      <c r="M298" s="3">
        <v>55133</v>
      </c>
      <c r="N298" s="3" t="str">
        <f>"40.581224"</f>
        <v>40.581224</v>
      </c>
      <c r="O298" s="3" t="str">
        <f>"22.959762"</f>
        <v>22.959762</v>
      </c>
      <c r="P298" s="3" t="s">
        <v>23</v>
      </c>
    </row>
    <row r="299" spans="1:16">
      <c r="A299" s="3" t="s">
        <v>19</v>
      </c>
      <c r="B299" s="3" t="str">
        <f>"9190431"</f>
        <v>9190431</v>
      </c>
      <c r="C299" s="4" t="s">
        <v>450</v>
      </c>
      <c r="D299" s="3" t="s">
        <v>18</v>
      </c>
      <c r="E299" s="3" t="s">
        <v>18</v>
      </c>
      <c r="F299" s="3" t="s">
        <v>18</v>
      </c>
      <c r="G299" s="3">
        <v>2</v>
      </c>
      <c r="H299" s="3">
        <v>2</v>
      </c>
      <c r="I299" s="3" t="s">
        <v>16</v>
      </c>
      <c r="J299" s="3">
        <v>2310472587</v>
      </c>
      <c r="K299" s="4" t="s">
        <v>451</v>
      </c>
      <c r="L299" s="4" t="s">
        <v>333</v>
      </c>
      <c r="M299" s="3">
        <v>55134</v>
      </c>
      <c r="N299" s="3" t="str">
        <f>"40.571412"</f>
        <v>40.571412</v>
      </c>
      <c r="O299" s="3" t="str">
        <f>"22.974218"</f>
        <v>22.974218</v>
      </c>
      <c r="P299" s="3" t="s">
        <v>23</v>
      </c>
    </row>
    <row r="300" spans="1:16">
      <c r="A300" s="3" t="s">
        <v>19</v>
      </c>
      <c r="B300" s="3" t="str">
        <f>"9190871"</f>
        <v>9190871</v>
      </c>
      <c r="C300" s="4" t="s">
        <v>28</v>
      </c>
      <c r="D300" s="3" t="s">
        <v>18</v>
      </c>
      <c r="E300" s="3" t="s">
        <v>18</v>
      </c>
      <c r="F300" s="3" t="s">
        <v>18</v>
      </c>
      <c r="G300" s="3">
        <v>2</v>
      </c>
      <c r="H300" s="3">
        <v>2</v>
      </c>
      <c r="I300" s="3" t="s">
        <v>16</v>
      </c>
      <c r="J300" s="3">
        <v>2310439196</v>
      </c>
      <c r="K300" s="4" t="s">
        <v>29</v>
      </c>
      <c r="L300" s="4" t="s">
        <v>30</v>
      </c>
      <c r="M300" s="3">
        <v>55133</v>
      </c>
      <c r="N300" s="3" t="str">
        <f>"40.582971"</f>
        <v>40.582971</v>
      </c>
      <c r="O300" s="3" t="str">
        <f>"22.957736"</f>
        <v>22.957736</v>
      </c>
      <c r="P300" s="3" t="s">
        <v>23</v>
      </c>
    </row>
    <row r="301" spans="1:16">
      <c r="A301" s="3" t="s">
        <v>19</v>
      </c>
      <c r="B301" s="3" t="str">
        <f>"9190566"</f>
        <v>9190566</v>
      </c>
      <c r="C301" s="4" t="s">
        <v>828</v>
      </c>
      <c r="D301" s="3" t="s">
        <v>18</v>
      </c>
      <c r="E301" s="3" t="s">
        <v>18</v>
      </c>
      <c r="F301" s="3" t="s">
        <v>18</v>
      </c>
      <c r="G301" s="3">
        <v>4</v>
      </c>
      <c r="H301" s="3">
        <v>4</v>
      </c>
      <c r="I301" s="3" t="s">
        <v>16</v>
      </c>
      <c r="J301" s="3">
        <v>2310414800</v>
      </c>
      <c r="K301" s="4" t="s">
        <v>829</v>
      </c>
      <c r="L301" s="4" t="s">
        <v>830</v>
      </c>
      <c r="M301" s="3">
        <v>55131</v>
      </c>
      <c r="N301" s="3" t="str">
        <f>"40.582161"</f>
        <v>40.582161</v>
      </c>
      <c r="O301" s="3" t="str">
        <f>"22.943659"</f>
        <v>22.943659</v>
      </c>
      <c r="P301" s="3" t="s">
        <v>23</v>
      </c>
    </row>
    <row r="302" spans="1:16">
      <c r="A302" s="5" t="s">
        <v>19</v>
      </c>
      <c r="B302" s="5" t="str">
        <f>"9521481"</f>
        <v>9521481</v>
      </c>
      <c r="C302" s="6" t="s">
        <v>938</v>
      </c>
      <c r="D302" s="5" t="s">
        <v>18</v>
      </c>
      <c r="E302" s="5" t="s">
        <v>18</v>
      </c>
      <c r="F302" s="5" t="s">
        <v>18</v>
      </c>
      <c r="G302" s="5">
        <v>1</v>
      </c>
      <c r="H302" s="5">
        <v>2</v>
      </c>
      <c r="I302" s="5" t="s">
        <v>16</v>
      </c>
      <c r="J302" s="6" t="s">
        <v>56</v>
      </c>
      <c r="K302" s="6" t="s">
        <v>56</v>
      </c>
      <c r="L302" s="6" t="s">
        <v>937</v>
      </c>
      <c r="M302" s="6" t="s">
        <v>56</v>
      </c>
      <c r="N302" s="6" t="s">
        <v>56</v>
      </c>
      <c r="O302" s="6" t="s">
        <v>56</v>
      </c>
      <c r="P302" s="5" t="s">
        <v>24</v>
      </c>
    </row>
    <row r="303" spans="1:16">
      <c r="A303" s="3" t="s">
        <v>19</v>
      </c>
      <c r="B303" s="3" t="str">
        <f>"9190481"</f>
        <v>9190481</v>
      </c>
      <c r="C303" s="4" t="s">
        <v>282</v>
      </c>
      <c r="D303" s="3" t="s">
        <v>31</v>
      </c>
      <c r="E303" s="3" t="s">
        <v>32</v>
      </c>
      <c r="F303" s="3" t="s">
        <v>32</v>
      </c>
      <c r="G303" s="3">
        <v>4</v>
      </c>
      <c r="H303" s="3">
        <v>4</v>
      </c>
      <c r="I303" s="3" t="s">
        <v>16</v>
      </c>
      <c r="J303" s="3">
        <v>2310346582</v>
      </c>
      <c r="K303" s="4" t="s">
        <v>283</v>
      </c>
      <c r="L303" s="4" t="s">
        <v>284</v>
      </c>
      <c r="M303" s="3">
        <v>55236</v>
      </c>
      <c r="N303" s="3" t="str">
        <f>"40.586217"</f>
        <v>40.586217</v>
      </c>
      <c r="O303" s="3" t="str">
        <f>"23.039306"</f>
        <v>23.039306</v>
      </c>
      <c r="P303" s="3" t="s">
        <v>23</v>
      </c>
    </row>
    <row r="304" spans="1:16">
      <c r="A304" s="3" t="s">
        <v>19</v>
      </c>
      <c r="B304" s="3" t="str">
        <f>"9190924"</f>
        <v>9190924</v>
      </c>
      <c r="C304" s="4" t="s">
        <v>107</v>
      </c>
      <c r="D304" s="3" t="s">
        <v>31</v>
      </c>
      <c r="E304" s="3" t="s">
        <v>32</v>
      </c>
      <c r="F304" s="3" t="s">
        <v>32</v>
      </c>
      <c r="G304" s="3">
        <v>2</v>
      </c>
      <c r="H304" s="3">
        <v>2</v>
      </c>
      <c r="I304" s="3" t="s">
        <v>16</v>
      </c>
      <c r="J304" s="3">
        <v>2310346070</v>
      </c>
      <c r="K304" s="4" t="s">
        <v>108</v>
      </c>
      <c r="L304" s="4" t="s">
        <v>109</v>
      </c>
      <c r="M304" s="3">
        <v>55236</v>
      </c>
      <c r="N304" s="3" t="str">
        <f>"40.581051"</f>
        <v>40.581051</v>
      </c>
      <c r="O304" s="3" t="str">
        <f>"23.015048"</f>
        <v>23.015048</v>
      </c>
      <c r="P304" s="3" t="s">
        <v>23</v>
      </c>
    </row>
    <row r="305" spans="1:16">
      <c r="A305" s="3" t="s">
        <v>19</v>
      </c>
      <c r="B305" s="3" t="str">
        <f>"9190494"</f>
        <v>9190494</v>
      </c>
      <c r="C305" s="4" t="s">
        <v>710</v>
      </c>
      <c r="D305" s="3" t="s">
        <v>31</v>
      </c>
      <c r="E305" s="3" t="s">
        <v>32</v>
      </c>
      <c r="F305" s="3" t="s">
        <v>32</v>
      </c>
      <c r="G305" s="3">
        <v>2</v>
      </c>
      <c r="H305" s="3">
        <v>2</v>
      </c>
      <c r="I305" s="3" t="s">
        <v>16</v>
      </c>
      <c r="J305" s="3">
        <v>2310342333</v>
      </c>
      <c r="K305" s="4" t="s">
        <v>711</v>
      </c>
      <c r="L305" s="4" t="s">
        <v>712</v>
      </c>
      <c r="M305" s="3">
        <v>55236</v>
      </c>
      <c r="N305" s="3" t="str">
        <f>"40.593836"</f>
        <v>40.593836</v>
      </c>
      <c r="O305" s="3" t="str">
        <f>"23.015474"</f>
        <v>23.015474</v>
      </c>
      <c r="P305" s="3" t="s">
        <v>23</v>
      </c>
    </row>
    <row r="306" spans="1:16">
      <c r="A306" s="3" t="s">
        <v>19</v>
      </c>
      <c r="B306" s="3" t="str">
        <f>"9190785"</f>
        <v>9190785</v>
      </c>
      <c r="C306" s="4" t="s">
        <v>564</v>
      </c>
      <c r="D306" s="3" t="s">
        <v>31</v>
      </c>
      <c r="E306" s="3" t="s">
        <v>32</v>
      </c>
      <c r="F306" s="3" t="s">
        <v>32</v>
      </c>
      <c r="G306" s="3">
        <v>1</v>
      </c>
      <c r="H306" s="3">
        <v>1</v>
      </c>
      <c r="I306" s="3" t="s">
        <v>16</v>
      </c>
      <c r="J306" s="3">
        <v>2310343844</v>
      </c>
      <c r="K306" s="4" t="s">
        <v>565</v>
      </c>
      <c r="L306" s="4" t="s">
        <v>566</v>
      </c>
      <c r="M306" s="3">
        <v>55236</v>
      </c>
      <c r="N306" s="3" t="str">
        <f>"40.597845"</f>
        <v>40.597845</v>
      </c>
      <c r="O306" s="3" t="str">
        <f>"23.048128"</f>
        <v>23.048128</v>
      </c>
      <c r="P306" s="3" t="s">
        <v>23</v>
      </c>
    </row>
    <row r="307" spans="1:16">
      <c r="A307" s="3" t="s">
        <v>19</v>
      </c>
      <c r="B307" s="3" t="str">
        <f>"9190498"</f>
        <v>9190498</v>
      </c>
      <c r="C307" s="4" t="s">
        <v>922</v>
      </c>
      <c r="D307" s="3" t="s">
        <v>31</v>
      </c>
      <c r="E307" s="3" t="s">
        <v>32</v>
      </c>
      <c r="F307" s="3" t="s">
        <v>32</v>
      </c>
      <c r="G307" s="3">
        <v>1</v>
      </c>
      <c r="H307" s="3">
        <v>1</v>
      </c>
      <c r="I307" s="3" t="s">
        <v>16</v>
      </c>
      <c r="J307" s="3">
        <v>2310342333</v>
      </c>
      <c r="K307" s="4" t="s">
        <v>923</v>
      </c>
      <c r="L307" s="4" t="s">
        <v>924</v>
      </c>
      <c r="M307" s="3">
        <v>55236</v>
      </c>
      <c r="N307" s="3" t="str">
        <f>"40.593852"</f>
        <v>40.593852</v>
      </c>
      <c r="O307" s="3" t="str">
        <f>"23.011641"</f>
        <v>23.011641</v>
      </c>
      <c r="P307" s="3" t="s">
        <v>23</v>
      </c>
    </row>
    <row r="308" spans="1:16">
      <c r="A308" s="5" t="s">
        <v>19</v>
      </c>
      <c r="B308" s="5" t="str">
        <f>"9521526"</f>
        <v>9521526</v>
      </c>
      <c r="C308" s="6" t="s">
        <v>939</v>
      </c>
      <c r="D308" s="5" t="s">
        <v>31</v>
      </c>
      <c r="E308" s="5" t="s">
        <v>32</v>
      </c>
      <c r="F308" s="5" t="s">
        <v>32</v>
      </c>
      <c r="G308" s="5">
        <v>1</v>
      </c>
      <c r="H308" s="5">
        <v>2</v>
      </c>
      <c r="I308" s="5" t="s">
        <v>16</v>
      </c>
      <c r="J308" s="6" t="s">
        <v>56</v>
      </c>
      <c r="K308" s="6" t="s">
        <v>56</v>
      </c>
      <c r="L308" s="6" t="s">
        <v>937</v>
      </c>
      <c r="M308" s="6" t="s">
        <v>56</v>
      </c>
      <c r="N308" s="6" t="s">
        <v>56</v>
      </c>
      <c r="O308" s="6" t="s">
        <v>56</v>
      </c>
      <c r="P308" s="5" t="s">
        <v>24</v>
      </c>
    </row>
    <row r="309" spans="1:16">
      <c r="A309" s="3" t="s">
        <v>19</v>
      </c>
      <c r="B309" s="3" t="str">
        <f>"9190497"</f>
        <v>9190497</v>
      </c>
      <c r="C309" s="4" t="s">
        <v>716</v>
      </c>
      <c r="D309" s="3" t="s">
        <v>31</v>
      </c>
      <c r="E309" s="3" t="s">
        <v>32</v>
      </c>
      <c r="F309" s="3" t="s">
        <v>32</v>
      </c>
      <c r="G309" s="3">
        <v>1</v>
      </c>
      <c r="H309" s="3">
        <v>2</v>
      </c>
      <c r="I309" s="3" t="s">
        <v>16</v>
      </c>
      <c r="J309" s="3">
        <v>2316020507</v>
      </c>
      <c r="K309" s="4" t="s">
        <v>717</v>
      </c>
      <c r="L309" s="4" t="s">
        <v>718</v>
      </c>
      <c r="M309" s="3">
        <v>54250</v>
      </c>
      <c r="N309" s="3" t="str">
        <f>"40.593836"</f>
        <v>40.593836</v>
      </c>
      <c r="O309" s="3" t="str">
        <f>"23.015474"</f>
        <v>23.015474</v>
      </c>
      <c r="P309" s="3" t="s">
        <v>23</v>
      </c>
    </row>
    <row r="310" spans="1:16">
      <c r="A310" s="3" t="s">
        <v>19</v>
      </c>
      <c r="B310" s="3" t="str">
        <f>"9190786"</f>
        <v>9190786</v>
      </c>
      <c r="C310" s="4" t="s">
        <v>574</v>
      </c>
      <c r="D310" s="3" t="s">
        <v>31</v>
      </c>
      <c r="E310" s="3" t="s">
        <v>74</v>
      </c>
      <c r="F310" s="3" t="s">
        <v>74</v>
      </c>
      <c r="G310" s="3">
        <v>2</v>
      </c>
      <c r="H310" s="3">
        <v>2</v>
      </c>
      <c r="I310" s="3" t="s">
        <v>16</v>
      </c>
      <c r="J310" s="3">
        <v>2310326122</v>
      </c>
      <c r="K310" s="4" t="s">
        <v>575</v>
      </c>
      <c r="L310" s="4" t="s">
        <v>576</v>
      </c>
      <c r="M310" s="3">
        <v>55535</v>
      </c>
      <c r="N310" s="3" t="str">
        <f>"40.601159"</f>
        <v>40.601159</v>
      </c>
      <c r="O310" s="3" t="str">
        <f>"23.005659"</f>
        <v>23.005659</v>
      </c>
      <c r="P310" s="3" t="s">
        <v>23</v>
      </c>
    </row>
    <row r="311" spans="1:16">
      <c r="A311" s="3" t="s">
        <v>19</v>
      </c>
      <c r="B311" s="3" t="str">
        <f>"9190061"</f>
        <v>9190061</v>
      </c>
      <c r="C311" s="4" t="s">
        <v>169</v>
      </c>
      <c r="D311" s="3" t="s">
        <v>31</v>
      </c>
      <c r="E311" s="3" t="s">
        <v>74</v>
      </c>
      <c r="F311" s="3" t="s">
        <v>74</v>
      </c>
      <c r="G311" s="3">
        <v>6</v>
      </c>
      <c r="H311" s="3">
        <v>6</v>
      </c>
      <c r="I311" s="3" t="s">
        <v>16</v>
      </c>
      <c r="J311" s="3">
        <v>2310326222</v>
      </c>
      <c r="K311" s="4" t="s">
        <v>170</v>
      </c>
      <c r="L311" s="4" t="s">
        <v>171</v>
      </c>
      <c r="M311" s="3">
        <v>55535</v>
      </c>
      <c r="N311" s="3" t="str">
        <f>"40.595884"</f>
        <v>40.595884</v>
      </c>
      <c r="O311" s="3" t="str">
        <f>"22.982100"</f>
        <v>22.982100</v>
      </c>
      <c r="P311" s="3" t="s">
        <v>23</v>
      </c>
    </row>
    <row r="312" spans="1:16">
      <c r="A312" s="3" t="s">
        <v>19</v>
      </c>
      <c r="B312" s="3" t="str">
        <f>"9190450"</f>
        <v>9190450</v>
      </c>
      <c r="C312" s="4" t="s">
        <v>157</v>
      </c>
      <c r="D312" s="3" t="s">
        <v>31</v>
      </c>
      <c r="E312" s="3" t="s">
        <v>74</v>
      </c>
      <c r="F312" s="3" t="s">
        <v>74</v>
      </c>
      <c r="G312" s="3">
        <v>3</v>
      </c>
      <c r="H312" s="3">
        <v>3</v>
      </c>
      <c r="I312" s="3" t="s">
        <v>16</v>
      </c>
      <c r="J312" s="3">
        <v>2310319173</v>
      </c>
      <c r="K312" s="4" t="s">
        <v>158</v>
      </c>
      <c r="L312" s="4" t="s">
        <v>159</v>
      </c>
      <c r="M312" s="3">
        <v>54250</v>
      </c>
      <c r="N312" s="3" t="str">
        <f>"40.596868"</f>
        <v>40.596868</v>
      </c>
      <c r="O312" s="3" t="str">
        <f>"22.976370"</f>
        <v>22.976370</v>
      </c>
      <c r="P312" s="3" t="s">
        <v>23</v>
      </c>
    </row>
    <row r="313" spans="1:16">
      <c r="A313" s="3" t="s">
        <v>19</v>
      </c>
      <c r="B313" s="3" t="str">
        <f>"9190917"</f>
        <v>9190917</v>
      </c>
      <c r="C313" s="4" t="s">
        <v>547</v>
      </c>
      <c r="D313" s="3" t="s">
        <v>31</v>
      </c>
      <c r="E313" s="3" t="s">
        <v>74</v>
      </c>
      <c r="F313" s="3" t="s">
        <v>74</v>
      </c>
      <c r="G313" s="3">
        <v>1</v>
      </c>
      <c r="H313" s="3">
        <v>1</v>
      </c>
      <c r="I313" s="3" t="s">
        <v>16</v>
      </c>
      <c r="J313" s="3">
        <v>2310328347</v>
      </c>
      <c r="K313" s="4" t="s">
        <v>548</v>
      </c>
      <c r="L313" s="4" t="s">
        <v>549</v>
      </c>
      <c r="M313" s="3">
        <v>55535</v>
      </c>
      <c r="N313" s="3" t="str">
        <f>"40.591458"</f>
        <v>40.591458</v>
      </c>
      <c r="O313" s="3" t="str">
        <f>"22.952935"</f>
        <v>22.952935</v>
      </c>
      <c r="P313" s="3" t="s">
        <v>23</v>
      </c>
    </row>
    <row r="314" spans="1:16">
      <c r="A314" s="3" t="s">
        <v>19</v>
      </c>
      <c r="B314" s="3" t="str">
        <f>"9190824"</f>
        <v>9190824</v>
      </c>
      <c r="C314" s="4" t="s">
        <v>497</v>
      </c>
      <c r="D314" s="3" t="s">
        <v>31</v>
      </c>
      <c r="E314" s="3" t="s">
        <v>74</v>
      </c>
      <c r="F314" s="3" t="s">
        <v>74</v>
      </c>
      <c r="G314" s="3">
        <v>1</v>
      </c>
      <c r="H314" s="3">
        <v>2</v>
      </c>
      <c r="I314" s="3" t="s">
        <v>16</v>
      </c>
      <c r="J314" s="3">
        <v>2310318644</v>
      </c>
      <c r="K314" s="4" t="s">
        <v>498</v>
      </c>
      <c r="L314" s="4" t="s">
        <v>499</v>
      </c>
      <c r="M314" s="3">
        <v>55535</v>
      </c>
      <c r="N314" s="3" t="str">
        <f>"40.594378"</f>
        <v>40.594378</v>
      </c>
      <c r="O314" s="3" t="str">
        <f>"23.005372"</f>
        <v>23.005372</v>
      </c>
      <c r="P314" s="3" t="s">
        <v>23</v>
      </c>
    </row>
    <row r="315" spans="1:16">
      <c r="A315" s="3" t="s">
        <v>19</v>
      </c>
      <c r="B315" s="3" t="str">
        <f>"9190747"</f>
        <v>9190747</v>
      </c>
      <c r="C315" s="4" t="s">
        <v>269</v>
      </c>
      <c r="D315" s="3" t="s">
        <v>31</v>
      </c>
      <c r="E315" s="3" t="s">
        <v>74</v>
      </c>
      <c r="F315" s="3" t="s">
        <v>74</v>
      </c>
      <c r="G315" s="3">
        <v>2</v>
      </c>
      <c r="H315" s="3">
        <v>4</v>
      </c>
      <c r="I315" s="3" t="s">
        <v>16</v>
      </c>
      <c r="J315" s="3">
        <v>2310918340</v>
      </c>
      <c r="K315" s="4" t="s">
        <v>270</v>
      </c>
      <c r="L315" s="4" t="s">
        <v>271</v>
      </c>
      <c r="M315" s="3">
        <v>54352</v>
      </c>
      <c r="N315" s="3" t="str">
        <f>"40.609680"</f>
        <v>40.609680</v>
      </c>
      <c r="O315" s="3" t="str">
        <f>"22.984495"</f>
        <v>22.984495</v>
      </c>
      <c r="P315" s="3" t="s">
        <v>23</v>
      </c>
    </row>
    <row r="316" spans="1:16">
      <c r="A316" s="3" t="s">
        <v>19</v>
      </c>
      <c r="B316" s="3" t="str">
        <f>"9521130"</f>
        <v>9521130</v>
      </c>
      <c r="C316" s="4" t="s">
        <v>863</v>
      </c>
      <c r="D316" s="3" t="s">
        <v>31</v>
      </c>
      <c r="E316" s="3" t="s">
        <v>74</v>
      </c>
      <c r="F316" s="3" t="s">
        <v>74</v>
      </c>
      <c r="G316" s="3">
        <v>2</v>
      </c>
      <c r="H316" s="3">
        <v>3</v>
      </c>
      <c r="I316" s="3" t="s">
        <v>16</v>
      </c>
      <c r="J316" s="3">
        <v>2310302875</v>
      </c>
      <c r="K316" s="4" t="s">
        <v>864</v>
      </c>
      <c r="L316" s="4" t="s">
        <v>865</v>
      </c>
      <c r="M316" s="3">
        <v>55535</v>
      </c>
      <c r="N316" s="3" t="str">
        <f>"40.603392"</f>
        <v>40.603392</v>
      </c>
      <c r="O316" s="3" t="str">
        <f>"22.989620"</f>
        <v>22.989620</v>
      </c>
      <c r="P316" s="3" t="s">
        <v>23</v>
      </c>
    </row>
    <row r="317" spans="1:16">
      <c r="A317" s="3" t="s">
        <v>19</v>
      </c>
      <c r="B317" s="3" t="str">
        <f>"9521322"</f>
        <v>9521322</v>
      </c>
      <c r="C317" s="4" t="s">
        <v>890</v>
      </c>
      <c r="D317" s="3" t="s">
        <v>31</v>
      </c>
      <c r="E317" s="3" t="s">
        <v>74</v>
      </c>
      <c r="F317" s="3" t="s">
        <v>74</v>
      </c>
      <c r="G317" s="3">
        <v>3</v>
      </c>
      <c r="H317" s="3">
        <v>4</v>
      </c>
      <c r="I317" s="3" t="s">
        <v>16</v>
      </c>
      <c r="J317" s="3">
        <v>2310915811</v>
      </c>
      <c r="K317" s="4" t="s">
        <v>891</v>
      </c>
      <c r="L317" s="4" t="s">
        <v>892</v>
      </c>
      <c r="M317" s="3">
        <v>54352</v>
      </c>
      <c r="N317" s="3" t="str">
        <f>"40.610998"</f>
        <v>40.610998</v>
      </c>
      <c r="O317" s="3" t="str">
        <f>"22.994693"</f>
        <v>22.994693</v>
      </c>
      <c r="P317" s="3" t="s">
        <v>23</v>
      </c>
    </row>
    <row r="318" spans="1:16">
      <c r="A318" s="3" t="s">
        <v>19</v>
      </c>
      <c r="B318" s="3" t="str">
        <f>"9521448"</f>
        <v>9521448</v>
      </c>
      <c r="C318" s="4" t="s">
        <v>904</v>
      </c>
      <c r="D318" s="3" t="s">
        <v>31</v>
      </c>
      <c r="E318" s="3" t="s">
        <v>74</v>
      </c>
      <c r="F318" s="3" t="s">
        <v>74</v>
      </c>
      <c r="G318" s="3">
        <v>1</v>
      </c>
      <c r="H318" s="3">
        <v>2</v>
      </c>
      <c r="I318" s="3" t="s">
        <v>16</v>
      </c>
      <c r="J318" s="3">
        <v>2310901133</v>
      </c>
      <c r="K318" s="4" t="s">
        <v>905</v>
      </c>
      <c r="L318" s="4" t="s">
        <v>906</v>
      </c>
      <c r="M318" s="3">
        <v>54352</v>
      </c>
      <c r="N318" s="3" t="str">
        <f>"40.610124"</f>
        <v>40.610124</v>
      </c>
      <c r="O318" s="3" t="str">
        <f>"22.987573"</f>
        <v>22.987573</v>
      </c>
      <c r="P318" s="3" t="s">
        <v>23</v>
      </c>
    </row>
    <row r="319" spans="1:16">
      <c r="A319" s="3" t="s">
        <v>19</v>
      </c>
      <c r="B319" s="3" t="str">
        <f>"9191003"</f>
        <v>9191003</v>
      </c>
      <c r="C319" s="4" t="s">
        <v>966</v>
      </c>
      <c r="D319" s="3" t="s">
        <v>31</v>
      </c>
      <c r="E319" s="3" t="s">
        <v>74</v>
      </c>
      <c r="F319" s="3" t="s">
        <v>74</v>
      </c>
      <c r="G319" s="3">
        <v>4</v>
      </c>
      <c r="H319" s="3">
        <v>4</v>
      </c>
      <c r="I319" s="3" t="s">
        <v>16</v>
      </c>
      <c r="J319" s="3">
        <v>2316025605</v>
      </c>
      <c r="K319" s="4" t="s">
        <v>967</v>
      </c>
      <c r="L319" s="4" t="s">
        <v>968</v>
      </c>
      <c r="M319" s="3">
        <v>55535</v>
      </c>
      <c r="N319" s="3" t="str">
        <f>"40.606863"</f>
        <v>40.606863</v>
      </c>
      <c r="O319" s="3" t="str">
        <f>"22.991716"</f>
        <v>22.991716</v>
      </c>
      <c r="P319" s="3" t="s">
        <v>23</v>
      </c>
    </row>
    <row r="320" spans="1:16">
      <c r="A320" s="3" t="s">
        <v>19</v>
      </c>
      <c r="B320" s="3" t="str">
        <f>"9521028"</f>
        <v>9521028</v>
      </c>
      <c r="C320" s="4" t="s">
        <v>542</v>
      </c>
      <c r="D320" s="3" t="s">
        <v>31</v>
      </c>
      <c r="E320" s="3" t="s">
        <v>74</v>
      </c>
      <c r="F320" s="3" t="s">
        <v>74</v>
      </c>
      <c r="G320" s="3">
        <v>1</v>
      </c>
      <c r="H320" s="3">
        <v>2</v>
      </c>
      <c r="I320" s="3" t="s">
        <v>16</v>
      </c>
      <c r="J320" s="3">
        <v>2310918850</v>
      </c>
      <c r="K320" s="4" t="s">
        <v>543</v>
      </c>
      <c r="L320" s="4" t="s">
        <v>454</v>
      </c>
      <c r="M320" s="3">
        <v>54352</v>
      </c>
      <c r="N320" s="3" t="str">
        <f>"40.610290"</f>
        <v>40.610290</v>
      </c>
      <c r="O320" s="3" t="str">
        <f>"22.988979"</f>
        <v>22.988979</v>
      </c>
      <c r="P320" s="3" t="s">
        <v>23</v>
      </c>
    </row>
    <row r="321" spans="1:16">
      <c r="A321" s="3" t="s">
        <v>19</v>
      </c>
      <c r="B321" s="3" t="str">
        <f>"9190341"</f>
        <v>9190341</v>
      </c>
      <c r="C321" s="4" t="s">
        <v>255</v>
      </c>
      <c r="D321" s="3" t="s">
        <v>31</v>
      </c>
      <c r="E321" s="3" t="s">
        <v>60</v>
      </c>
      <c r="F321" s="3" t="s">
        <v>61</v>
      </c>
      <c r="G321" s="3">
        <v>2</v>
      </c>
      <c r="H321" s="3">
        <v>2</v>
      </c>
      <c r="I321" s="3" t="s">
        <v>38</v>
      </c>
      <c r="J321" s="3">
        <v>2310359650</v>
      </c>
      <c r="K321" s="4" t="s">
        <v>256</v>
      </c>
      <c r="L321" s="4" t="s">
        <v>257</v>
      </c>
      <c r="M321" s="3">
        <v>57010</v>
      </c>
      <c r="N321" s="3" t="str">
        <f>"40.641103"</f>
        <v>40.641103</v>
      </c>
      <c r="O321" s="3" t="str">
        <f>"23.021868"</f>
        <v>23.021868</v>
      </c>
      <c r="P321" s="3" t="s">
        <v>23</v>
      </c>
    </row>
    <row r="322" spans="1:16">
      <c r="A322" s="3" t="s">
        <v>19</v>
      </c>
      <c r="B322" s="3" t="str">
        <f>"9190901"</f>
        <v>9190901</v>
      </c>
      <c r="C322" s="4" t="s">
        <v>363</v>
      </c>
      <c r="D322" s="3" t="s">
        <v>31</v>
      </c>
      <c r="E322" s="3" t="s">
        <v>60</v>
      </c>
      <c r="F322" s="3" t="s">
        <v>61</v>
      </c>
      <c r="G322" s="3">
        <v>2</v>
      </c>
      <c r="H322" s="3">
        <v>2</v>
      </c>
      <c r="I322" s="3" t="s">
        <v>38</v>
      </c>
      <c r="J322" s="3">
        <v>2310358236</v>
      </c>
      <c r="K322" s="4" t="s">
        <v>364</v>
      </c>
      <c r="L322" s="4" t="s">
        <v>365</v>
      </c>
      <c r="M322" s="3">
        <v>57010</v>
      </c>
      <c r="N322" s="3" t="str">
        <f>"40.641087"</f>
        <v>40.641087</v>
      </c>
      <c r="O322" s="3" t="str">
        <f>"23.023574"</f>
        <v>23.023574</v>
      </c>
      <c r="P322" s="3" t="s">
        <v>23</v>
      </c>
    </row>
    <row r="323" spans="1:16">
      <c r="A323" s="3" t="s">
        <v>19</v>
      </c>
      <c r="B323" s="3" t="str">
        <f>"9521025"</f>
        <v>9521025</v>
      </c>
      <c r="C323" s="4" t="s">
        <v>836</v>
      </c>
      <c r="D323" s="3" t="s">
        <v>31</v>
      </c>
      <c r="E323" s="3" t="s">
        <v>60</v>
      </c>
      <c r="F323" s="3" t="s">
        <v>381</v>
      </c>
      <c r="G323" s="3">
        <v>1</v>
      </c>
      <c r="H323" s="3">
        <v>1</v>
      </c>
      <c r="I323" s="3" t="s">
        <v>38</v>
      </c>
      <c r="J323" s="3">
        <v>2313307576</v>
      </c>
      <c r="K323" s="4" t="s">
        <v>837</v>
      </c>
      <c r="L323" s="4" t="s">
        <v>838</v>
      </c>
      <c r="M323" s="3">
        <v>57010</v>
      </c>
      <c r="N323" s="3" t="str">
        <f>"40.645553"</f>
        <v>40.645553</v>
      </c>
      <c r="O323" s="3" t="str">
        <f>"23.011898"</f>
        <v>23.011898</v>
      </c>
      <c r="P323" s="3" t="s">
        <v>23</v>
      </c>
    </row>
    <row r="324" spans="1:16">
      <c r="A324" s="3" t="s">
        <v>19</v>
      </c>
      <c r="B324" s="3" t="str">
        <f>"9190860"</f>
        <v>9190860</v>
      </c>
      <c r="C324" s="4" t="s">
        <v>382</v>
      </c>
      <c r="D324" s="3" t="s">
        <v>31</v>
      </c>
      <c r="E324" s="3" t="s">
        <v>60</v>
      </c>
      <c r="F324" s="3" t="s">
        <v>381</v>
      </c>
      <c r="G324" s="3">
        <v>2</v>
      </c>
      <c r="H324" s="3">
        <v>2</v>
      </c>
      <c r="I324" s="3" t="s">
        <v>38</v>
      </c>
      <c r="J324" s="3">
        <v>2310358657</v>
      </c>
      <c r="K324" s="4" t="s">
        <v>383</v>
      </c>
      <c r="L324" s="4" t="s">
        <v>384</v>
      </c>
      <c r="M324" s="3">
        <v>57010</v>
      </c>
      <c r="N324" s="3" t="str">
        <f>"40.628345"</f>
        <v>40.628345</v>
      </c>
      <c r="O324" s="3" t="str">
        <f>"23.046080"</f>
        <v>23.046080</v>
      </c>
      <c r="P324" s="3" t="s">
        <v>23</v>
      </c>
    </row>
    <row r="325" spans="1:16">
      <c r="A325" s="3" t="s">
        <v>19</v>
      </c>
      <c r="B325" s="3" t="str">
        <f>"9190706"</f>
        <v>9190706</v>
      </c>
      <c r="C325" s="4" t="s">
        <v>513</v>
      </c>
      <c r="D325" s="3" t="s">
        <v>31</v>
      </c>
      <c r="E325" s="3" t="s">
        <v>60</v>
      </c>
      <c r="F325" s="3" t="s">
        <v>415</v>
      </c>
      <c r="G325" s="3">
        <v>1</v>
      </c>
      <c r="H325" s="3">
        <v>2</v>
      </c>
      <c r="I325" s="3" t="s">
        <v>38</v>
      </c>
      <c r="J325" s="3">
        <v>2310677620</v>
      </c>
      <c r="K325" s="4" t="s">
        <v>514</v>
      </c>
      <c r="L325" s="4" t="s">
        <v>515</v>
      </c>
      <c r="M325" s="3">
        <v>57010</v>
      </c>
      <c r="N325" s="3" t="str">
        <f>"40.645553"</f>
        <v>40.645553</v>
      </c>
      <c r="O325" s="3" t="str">
        <f>"23.011898"</f>
        <v>23.011898</v>
      </c>
      <c r="P325" s="3" t="s">
        <v>23</v>
      </c>
    </row>
    <row r="326" spans="1:16">
      <c r="A326" s="3" t="s">
        <v>19</v>
      </c>
      <c r="B326" s="3" t="str">
        <f>"9190933"</f>
        <v>9190933</v>
      </c>
      <c r="C326" s="4" t="s">
        <v>416</v>
      </c>
      <c r="D326" s="3" t="s">
        <v>31</v>
      </c>
      <c r="E326" s="3" t="s">
        <v>60</v>
      </c>
      <c r="F326" s="3" t="s">
        <v>415</v>
      </c>
      <c r="G326" s="3">
        <v>2</v>
      </c>
      <c r="H326" s="3">
        <v>2</v>
      </c>
      <c r="I326" s="3" t="s">
        <v>38</v>
      </c>
      <c r="J326" s="3">
        <v>2310677389</v>
      </c>
      <c r="K326" s="4" t="s">
        <v>417</v>
      </c>
      <c r="L326" s="4" t="s">
        <v>418</v>
      </c>
      <c r="M326" s="3">
        <v>57010</v>
      </c>
      <c r="N326" s="3" t="str">
        <f>"40.690770"</f>
        <v>40.690770</v>
      </c>
      <c r="O326" s="3" t="str">
        <f>"23.006774"</f>
        <v>23.006774</v>
      </c>
      <c r="P326" s="3" t="s">
        <v>23</v>
      </c>
    </row>
    <row r="327" spans="1:16">
      <c r="A327" s="3" t="s">
        <v>19</v>
      </c>
      <c r="B327" s="3" t="str">
        <f>"9520924"</f>
        <v>9520924</v>
      </c>
      <c r="C327" s="4" t="s">
        <v>516</v>
      </c>
      <c r="D327" s="3" t="s">
        <v>31</v>
      </c>
      <c r="E327" s="3" t="s">
        <v>60</v>
      </c>
      <c r="F327" s="3" t="s">
        <v>415</v>
      </c>
      <c r="G327" s="3">
        <v>1</v>
      </c>
      <c r="H327" s="3">
        <v>2</v>
      </c>
      <c r="I327" s="3" t="s">
        <v>38</v>
      </c>
      <c r="J327" s="3">
        <v>2310678388</v>
      </c>
      <c r="K327" s="4" t="s">
        <v>517</v>
      </c>
      <c r="L327" s="4" t="s">
        <v>518</v>
      </c>
      <c r="M327" s="3">
        <v>57010</v>
      </c>
      <c r="N327" s="3" t="str">
        <f>"40.645553"</f>
        <v>40.645553</v>
      </c>
      <c r="O327" s="3" t="str">
        <f>"23.011898"</f>
        <v>23.011898</v>
      </c>
      <c r="P327" s="3" t="s">
        <v>23</v>
      </c>
    </row>
    <row r="328" spans="1:16">
      <c r="A328" s="3" t="s">
        <v>19</v>
      </c>
      <c r="B328" s="3" t="str">
        <f>"9190367"</f>
        <v>9190367</v>
      </c>
      <c r="C328" s="4" t="s">
        <v>500</v>
      </c>
      <c r="D328" s="3" t="s">
        <v>31</v>
      </c>
      <c r="E328" s="3" t="s">
        <v>60</v>
      </c>
      <c r="F328" s="3" t="s">
        <v>60</v>
      </c>
      <c r="G328" s="3">
        <v>1</v>
      </c>
      <c r="H328" s="3">
        <v>2</v>
      </c>
      <c r="I328" s="3" t="s">
        <v>38</v>
      </c>
      <c r="J328" s="3">
        <v>2310349800</v>
      </c>
      <c r="K328" s="4" t="s">
        <v>501</v>
      </c>
      <c r="L328" s="4" t="s">
        <v>502</v>
      </c>
      <c r="M328" s="3">
        <v>57010</v>
      </c>
      <c r="N328" s="3" t="str">
        <f>"40.611576"</f>
        <v>40.611576</v>
      </c>
      <c r="O328" s="3" t="str">
        <f>"23.099635"</f>
        <v>23.099635</v>
      </c>
      <c r="P328" s="3" t="s">
        <v>23</v>
      </c>
    </row>
    <row r="329" spans="1:16">
      <c r="A329" s="3" t="s">
        <v>19</v>
      </c>
      <c r="B329" s="3" t="str">
        <f>"9521113"</f>
        <v>9521113</v>
      </c>
      <c r="C329" s="4" t="s">
        <v>858</v>
      </c>
      <c r="D329" s="3" t="s">
        <v>31</v>
      </c>
      <c r="E329" s="3" t="s">
        <v>60</v>
      </c>
      <c r="F329" s="3" t="s">
        <v>60</v>
      </c>
      <c r="G329" s="3">
        <v>2</v>
      </c>
      <c r="H329" s="3">
        <v>2</v>
      </c>
      <c r="I329" s="3" t="s">
        <v>38</v>
      </c>
      <c r="J329" s="3">
        <v>2310348161</v>
      </c>
      <c r="K329" s="4" t="s">
        <v>859</v>
      </c>
      <c r="L329" s="4" t="s">
        <v>860</v>
      </c>
      <c r="M329" s="3">
        <v>57010</v>
      </c>
      <c r="N329" s="3" t="str">
        <f>"40.609459"</f>
        <v>40.609459</v>
      </c>
      <c r="O329" s="3" t="str">
        <f>"23.102020"</f>
        <v>23.102020</v>
      </c>
      <c r="P329" s="3" t="s">
        <v>23</v>
      </c>
    </row>
  </sheetData>
  <autoFilter ref="A1:P329"/>
  <sortState ref="A2:P413">
    <sortCondition ref="A2:A413"/>
    <sortCondition ref="D2:D413"/>
    <sortCondition ref="E2:E413"/>
    <sortCondition ref="F2:F413"/>
    <sortCondition ref="C2:C4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CSV_2023-10-03-112017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2023-10-03T08:20:46Z</dcterms:created>
  <dcterms:modified xsi:type="dcterms:W3CDTF">2023-10-03T08:30:45Z</dcterms:modified>
</cp:coreProperties>
</file>